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USUARIO\ANSELMO\Recaudacion Federal\PC PACO\Anselmo OK\Presupuesto 2022\Para Publicacion\"/>
    </mc:Choice>
  </mc:AlternateContent>
  <bookViews>
    <workbookView xWindow="0" yWindow="60" windowWidth="20730" windowHeight="11700"/>
  </bookViews>
  <sheets>
    <sheet name="CALENDARIO 2022" sheetId="23" r:id="rId1"/>
    <sheet name="Consolidado" sheetId="3" r:id="rId2"/>
    <sheet name="FGP" sheetId="4" r:id="rId3"/>
    <sheet name="FFM" sheetId="5" r:id="rId4"/>
    <sheet name="FOFIR" sheetId="8" r:id="rId5"/>
    <sheet name="FOCO" sheetId="22" r:id="rId6"/>
    <sheet name="IEPS TyA" sheetId="20" r:id="rId7"/>
    <sheet name="IEPS GyD " sheetId="7" r:id="rId8"/>
    <sheet name="Incentivo ISAN" sheetId="14" r:id="rId9"/>
    <sheet name="FOCO ISAN" sheetId="13" r:id="rId10"/>
    <sheet name="ISR Enaje" sheetId="65" r:id="rId11"/>
    <sheet name="IEPS 2014 " sheetId="21" r:id="rId12"/>
    <sheet name="Datos" sheetId="15" state="veryHidden" r:id="rId13"/>
    <sheet name="CENSO 2020" sheetId="11" r:id="rId14"/>
    <sheet name="Predial y Agua" sheetId="1" r:id="rId15"/>
    <sheet name="FOCO ISAN (2)" sheetId="32" state="veryHidden" r:id="rId16"/>
    <sheet name=" FOCO INCREMENTO" sheetId="35" state="veryHidden" r:id="rId17"/>
    <sheet name=" FOCO ESTIMACION" sheetId="36" state="veryHidden" r:id="rId18"/>
    <sheet name="F.G.P. 2022" sheetId="50" r:id="rId19"/>
    <sheet name="F.F.M.2022" sheetId="46" r:id="rId20"/>
    <sheet name="FOFIR 2022" sheetId="37" r:id="rId21"/>
    <sheet name="FOCO 2022" sheetId="34" r:id="rId22"/>
    <sheet name="IEPS2022" sheetId="43" r:id="rId23"/>
    <sheet name="IEPSGAS 2022" sheetId="40" r:id="rId24"/>
    <sheet name="ISAN 2022" sheetId="33" r:id="rId25"/>
    <sheet name="FOCO ISAN 2022 " sheetId="62" r:id="rId26"/>
    <sheet name="ISR 2022" sheetId="67" r:id="rId27"/>
    <sheet name="ISR EJANE 2022" sheetId="68" r:id="rId28"/>
    <sheet name="FOFIR  INCREMENTO" sheetId="38" state="veryHidden" r:id="rId29"/>
    <sheet name="FOFIR ESTIMACIONES" sheetId="39" state="veryHidden" r:id="rId30"/>
    <sheet name="IEPSGASINCREMENTO" sheetId="41" state="veryHidden" r:id="rId31"/>
    <sheet name="IEPSGAS ESTIMACIONES" sheetId="42" state="veryHidden" r:id="rId32"/>
    <sheet name="IEPS INCREMENTO" sheetId="44" state="veryHidden" r:id="rId33"/>
    <sheet name="IEPS ESTIMACIONES" sheetId="45" state="veryHidden" r:id="rId34"/>
    <sheet name="IEPS2020 (2)" sheetId="59" state="hidden" r:id="rId35"/>
    <sheet name="F.F.M30%" sheetId="47" state="veryHidden" r:id="rId36"/>
    <sheet name="F.F.M.70%" sheetId="48" state="veryHidden" r:id="rId37"/>
    <sheet name="F.F.M.ESTIIMACIONES 2014" sheetId="49" state="veryHidden" r:id="rId38"/>
    <sheet name="F.G.P.INCREMENTO" sheetId="51" state="veryHidden" r:id="rId39"/>
    <sheet name="F.G.P. ESTIMACIONES 2014" sheetId="52" state="veryHidden" r:id="rId40"/>
    <sheet name="F.G.P. 2020 (2)" sheetId="56" state="veryHidden" r:id="rId41"/>
    <sheet name="F.F.M.2020 (2)" sheetId="57" state="veryHidden" r:id="rId42"/>
    <sheet name="FOCO 2020 (2)" sheetId="58" state="veryHidden" r:id="rId43"/>
    <sheet name="IEPSGAS 2020 (2)" sheetId="60" state="veryHidden" r:id="rId44"/>
    <sheet name="FOFIR 2020 (2)" sheetId="61" state="veryHidden" r:id="rId45"/>
    <sheet name="ISAN Recaudacion (2)" sheetId="63" state="hidden" r:id="rId46"/>
    <sheet name="ISR" sheetId="69" state="veryHidden" r:id="rId47"/>
    <sheet name="ENAJENACION" sheetId="70" state="veryHidden" r:id="rId48"/>
    <sheet name="X22.55 POE" sheetId="66" state="veryHidden" r:id="rId49"/>
    <sheet name="X22.55 DOF" sheetId="71" state="veryHidden" r:id="rId50"/>
    <sheet name="FGP 30%" sheetId="18" state="veryHidden" r:id="rId51"/>
    <sheet name="FGP 10%" sheetId="19" state="veryHidden" r:id="rId52"/>
  </sheets>
  <externalReferences>
    <externalReference r:id="rId53"/>
    <externalReference r:id="rId54"/>
    <externalReference r:id="rId55"/>
    <externalReference r:id="rId56"/>
    <externalReference r:id="rId57"/>
    <externalReference r:id="rId58"/>
  </externalReferences>
  <definedNames>
    <definedName name="_xlnm.Print_Area" localSheetId="0">'CALENDARIO 2022'!$A$1:$G$50</definedName>
    <definedName name="_xlnm.Print_Area" localSheetId="13">'CENSO 2020'!$B$3:$C$34</definedName>
    <definedName name="_xlnm.Print_Area" localSheetId="12">Datos!$B$4:$K$79</definedName>
    <definedName name="_xlnm.Print_Area" localSheetId="19">F.F.M.2022!$A$1:$O$25</definedName>
    <definedName name="_xlnm.Print_Area" localSheetId="18">'F.G.P. 2022'!$A$1:$O$25</definedName>
    <definedName name="_xlnm.Print_Area" localSheetId="9">'FOCO ISAN'!$B$1:$J$29</definedName>
    <definedName name="_xlnm.Print_Area" localSheetId="25">'FOCO ISAN 2022 '!$A$1:$O$25</definedName>
    <definedName name="_xlnm.Print_Area" localSheetId="4">FOFIR!$B$1:$K$33</definedName>
    <definedName name="_xlnm.Print_Area" localSheetId="20">'FOFIR 2022'!$A$1:$O$25</definedName>
    <definedName name="_xlnm.Print_Area" localSheetId="11">'IEPS 2014 '!$A$1:$O$31</definedName>
    <definedName name="_xlnm.Print_Area" localSheetId="7">'IEPS GyD '!$B$1:$H$33</definedName>
    <definedName name="_xlnm.Print_Area" localSheetId="6">'IEPS TyA'!$B$1:$G$30</definedName>
    <definedName name="_xlnm.Print_Area" localSheetId="22">IEPS2022!$A$1:$O$27</definedName>
    <definedName name="_xlnm.Print_Area" localSheetId="23">'IEPSGAS 2022'!$A$1:$O$25</definedName>
    <definedName name="_xlnm.Print_Area" localSheetId="8">'Incentivo ISAN'!$B$1:$L$29</definedName>
    <definedName name="_xlnm.Print_Area" localSheetId="24">'ISAN 2022'!$A$1:$O$25</definedName>
    <definedName name="_xlnm.Print_Area" localSheetId="26">'ISR 2022'!$A$1:$O$25</definedName>
    <definedName name="_xlnm.Print_Area" localSheetId="27">'ISR EJANE 2022'!$A$1:$O$25</definedName>
    <definedName name="_xlnm.Print_Area" localSheetId="10">'ISR Enaje'!$B$1:$S$34</definedName>
    <definedName name="_xlnm.Print_Area" localSheetId="14">'Predial y Agua'!$A$3:$G$29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45" l="1"/>
  <c r="E27" i="45"/>
  <c r="F27" i="45"/>
  <c r="G27" i="45"/>
  <c r="H27" i="45"/>
  <c r="I27" i="45"/>
  <c r="J27" i="45"/>
  <c r="K27" i="45"/>
  <c r="L27" i="45"/>
  <c r="M27" i="45"/>
  <c r="N27" i="45"/>
  <c r="C27" i="45"/>
  <c r="O41" i="36" l="1"/>
  <c r="D41" i="36"/>
  <c r="E41" i="36"/>
  <c r="F41" i="36"/>
  <c r="G41" i="36"/>
  <c r="H41" i="36"/>
  <c r="I41" i="36"/>
  <c r="J41" i="36"/>
  <c r="K41" i="36"/>
  <c r="L41" i="36"/>
  <c r="M41" i="36"/>
  <c r="N41" i="36"/>
  <c r="C41" i="36"/>
  <c r="O39" i="36"/>
  <c r="P76" i="66"/>
  <c r="I40" i="15"/>
  <c r="I39" i="15"/>
  <c r="K39" i="15"/>
  <c r="I38" i="15"/>
  <c r="A71" i="66"/>
  <c r="C5" i="67" l="1"/>
  <c r="D5" i="67"/>
  <c r="E5" i="67"/>
  <c r="F5" i="67"/>
  <c r="G5" i="67"/>
  <c r="H5" i="67"/>
  <c r="I5" i="67"/>
  <c r="J5" i="67"/>
  <c r="K5" i="67"/>
  <c r="L5" i="67"/>
  <c r="M5" i="67"/>
  <c r="N5" i="67"/>
  <c r="C6" i="67"/>
  <c r="D6" i="67"/>
  <c r="E6" i="67"/>
  <c r="F6" i="67"/>
  <c r="G6" i="67"/>
  <c r="H6" i="67"/>
  <c r="I6" i="67"/>
  <c r="J6" i="67"/>
  <c r="K6" i="67"/>
  <c r="L6" i="67"/>
  <c r="M6" i="67"/>
  <c r="N6" i="67"/>
  <c r="C7" i="67"/>
  <c r="D7" i="67"/>
  <c r="E7" i="67"/>
  <c r="F7" i="67"/>
  <c r="G7" i="67"/>
  <c r="H7" i="67"/>
  <c r="I7" i="67"/>
  <c r="J7" i="67"/>
  <c r="K7" i="67"/>
  <c r="L7" i="67"/>
  <c r="M7" i="67"/>
  <c r="N7" i="67"/>
  <c r="C8" i="67"/>
  <c r="D8" i="67"/>
  <c r="E8" i="67"/>
  <c r="F8" i="67"/>
  <c r="G8" i="67"/>
  <c r="H8" i="67"/>
  <c r="I8" i="67"/>
  <c r="J8" i="67"/>
  <c r="K8" i="67"/>
  <c r="L8" i="67"/>
  <c r="M8" i="67"/>
  <c r="N8" i="67"/>
  <c r="C9" i="67"/>
  <c r="D9" i="67"/>
  <c r="E9" i="67"/>
  <c r="F9" i="67"/>
  <c r="G9" i="67"/>
  <c r="H9" i="67"/>
  <c r="I9" i="67"/>
  <c r="J9" i="67"/>
  <c r="K9" i="67"/>
  <c r="L9" i="67"/>
  <c r="M9" i="67"/>
  <c r="N9" i="67"/>
  <c r="C10" i="67"/>
  <c r="D10" i="67"/>
  <c r="E10" i="67"/>
  <c r="F10" i="67"/>
  <c r="G10" i="67"/>
  <c r="H10" i="67"/>
  <c r="I10" i="67"/>
  <c r="J10" i="67"/>
  <c r="K10" i="67"/>
  <c r="L10" i="67"/>
  <c r="M10" i="67"/>
  <c r="N10" i="67"/>
  <c r="C11" i="67"/>
  <c r="D11" i="67"/>
  <c r="E11" i="67"/>
  <c r="F11" i="67"/>
  <c r="G11" i="67"/>
  <c r="H11" i="67"/>
  <c r="I11" i="67"/>
  <c r="J11" i="67"/>
  <c r="K11" i="67"/>
  <c r="L11" i="67"/>
  <c r="M11" i="67"/>
  <c r="N11" i="67"/>
  <c r="C12" i="67"/>
  <c r="D12" i="67"/>
  <c r="E12" i="67"/>
  <c r="F12" i="67"/>
  <c r="G12" i="67"/>
  <c r="H12" i="67"/>
  <c r="I12" i="67"/>
  <c r="J12" i="67"/>
  <c r="K12" i="67"/>
  <c r="L12" i="67"/>
  <c r="M12" i="67"/>
  <c r="N12" i="67"/>
  <c r="C13" i="67"/>
  <c r="D13" i="67"/>
  <c r="E13" i="67"/>
  <c r="F13" i="67"/>
  <c r="G13" i="67"/>
  <c r="H13" i="67"/>
  <c r="I13" i="67"/>
  <c r="J13" i="67"/>
  <c r="K13" i="67"/>
  <c r="L13" i="67"/>
  <c r="M13" i="67"/>
  <c r="N13" i="67"/>
  <c r="C14" i="67"/>
  <c r="D14" i="67"/>
  <c r="E14" i="67"/>
  <c r="F14" i="67"/>
  <c r="G14" i="67"/>
  <c r="H14" i="67"/>
  <c r="I14" i="67"/>
  <c r="J14" i="67"/>
  <c r="K14" i="67"/>
  <c r="L14" i="67"/>
  <c r="M14" i="67"/>
  <c r="N14" i="67"/>
  <c r="C15" i="67"/>
  <c r="D15" i="67"/>
  <c r="E15" i="67"/>
  <c r="F15" i="67"/>
  <c r="G15" i="67"/>
  <c r="H15" i="67"/>
  <c r="I15" i="67"/>
  <c r="J15" i="67"/>
  <c r="K15" i="67"/>
  <c r="L15" i="67"/>
  <c r="M15" i="67"/>
  <c r="N15" i="67"/>
  <c r="C16" i="67"/>
  <c r="D16" i="67"/>
  <c r="E16" i="67"/>
  <c r="F16" i="67"/>
  <c r="G16" i="67"/>
  <c r="H16" i="67"/>
  <c r="I16" i="67"/>
  <c r="J16" i="67"/>
  <c r="K16" i="67"/>
  <c r="L16" i="67"/>
  <c r="M16" i="67"/>
  <c r="N16" i="67"/>
  <c r="C17" i="67"/>
  <c r="D17" i="67"/>
  <c r="E17" i="67"/>
  <c r="F17" i="67"/>
  <c r="G17" i="67"/>
  <c r="H17" i="67"/>
  <c r="I17" i="67"/>
  <c r="J17" i="67"/>
  <c r="K17" i="67"/>
  <c r="L17" i="67"/>
  <c r="M17" i="67"/>
  <c r="N17" i="67"/>
  <c r="C18" i="67"/>
  <c r="D18" i="67"/>
  <c r="E18" i="67"/>
  <c r="F18" i="67"/>
  <c r="G18" i="67"/>
  <c r="H18" i="67"/>
  <c r="I18" i="67"/>
  <c r="J18" i="67"/>
  <c r="K18" i="67"/>
  <c r="L18" i="67"/>
  <c r="M18" i="67"/>
  <c r="N18" i="67"/>
  <c r="C19" i="67"/>
  <c r="D19" i="67"/>
  <c r="E19" i="67"/>
  <c r="F19" i="67"/>
  <c r="G19" i="67"/>
  <c r="H19" i="67"/>
  <c r="I19" i="67"/>
  <c r="J19" i="67"/>
  <c r="K19" i="67"/>
  <c r="L19" i="67"/>
  <c r="M19" i="67"/>
  <c r="N19" i="67"/>
  <c r="C20" i="67"/>
  <c r="D20" i="67"/>
  <c r="E20" i="67"/>
  <c r="F20" i="67"/>
  <c r="G20" i="67"/>
  <c r="H20" i="67"/>
  <c r="I20" i="67"/>
  <c r="J20" i="67"/>
  <c r="K20" i="67"/>
  <c r="L20" i="67"/>
  <c r="M20" i="67"/>
  <c r="N20" i="67"/>
  <c r="C21" i="67"/>
  <c r="D21" i="67"/>
  <c r="E21" i="67"/>
  <c r="F21" i="67"/>
  <c r="G21" i="67"/>
  <c r="H21" i="67"/>
  <c r="I21" i="67"/>
  <c r="J21" i="67"/>
  <c r="K21" i="67"/>
  <c r="L21" i="67"/>
  <c r="M21" i="67"/>
  <c r="N21" i="67"/>
  <c r="C22" i="67"/>
  <c r="D22" i="67"/>
  <c r="E22" i="67"/>
  <c r="F22" i="67"/>
  <c r="G22" i="67"/>
  <c r="H22" i="67"/>
  <c r="I22" i="67"/>
  <c r="J22" i="67"/>
  <c r="K22" i="67"/>
  <c r="L22" i="67"/>
  <c r="M22" i="67"/>
  <c r="N22" i="67"/>
  <c r="C23" i="67"/>
  <c r="D23" i="67"/>
  <c r="E23" i="67"/>
  <c r="F23" i="67"/>
  <c r="G23" i="67"/>
  <c r="H23" i="67"/>
  <c r="I23" i="67"/>
  <c r="J23" i="67"/>
  <c r="K23" i="67"/>
  <c r="L23" i="67"/>
  <c r="M23" i="67"/>
  <c r="N23" i="67"/>
  <c r="N4" i="67"/>
  <c r="M4" i="67"/>
  <c r="L4" i="67"/>
  <c r="K4" i="67"/>
  <c r="J4" i="67"/>
  <c r="I4" i="67"/>
  <c r="H4" i="67"/>
  <c r="G4" i="67"/>
  <c r="F4" i="67"/>
  <c r="E4" i="67"/>
  <c r="D4" i="67"/>
  <c r="C4" i="67"/>
  <c r="Q27" i="69"/>
  <c r="Q8" i="69"/>
  <c r="Q9" i="69"/>
  <c r="Q10" i="69"/>
  <c r="Q11" i="69"/>
  <c r="Q12" i="69"/>
  <c r="Q13" i="69"/>
  <c r="Q14" i="69"/>
  <c r="Q15" i="69"/>
  <c r="Q16" i="69"/>
  <c r="Q17" i="69"/>
  <c r="Q18" i="69"/>
  <c r="Q19" i="69"/>
  <c r="Q20" i="69"/>
  <c r="Q21" i="69"/>
  <c r="Q22" i="69"/>
  <c r="Q23" i="69"/>
  <c r="Q24" i="69"/>
  <c r="Q25" i="69"/>
  <c r="Q26" i="69"/>
  <c r="Q7" i="69"/>
  <c r="R27" i="70"/>
  <c r="R8" i="70"/>
  <c r="R9" i="70"/>
  <c r="R10" i="70"/>
  <c r="R11" i="70"/>
  <c r="R12" i="70"/>
  <c r="R13" i="70"/>
  <c r="R14" i="70"/>
  <c r="R15" i="70"/>
  <c r="R16" i="70"/>
  <c r="R17" i="70"/>
  <c r="R18" i="70"/>
  <c r="R19" i="70"/>
  <c r="R20" i="70"/>
  <c r="R21" i="70"/>
  <c r="R22" i="70"/>
  <c r="R23" i="70"/>
  <c r="R24" i="70"/>
  <c r="R25" i="70"/>
  <c r="R26" i="70"/>
  <c r="R7" i="70"/>
  <c r="V29" i="65"/>
  <c r="Z10" i="3"/>
  <c r="Z11" i="3"/>
  <c r="Z12" i="3"/>
  <c r="Z13" i="3"/>
  <c r="Z14" i="3"/>
  <c r="Z15" i="3"/>
  <c r="Z16" i="3"/>
  <c r="Z17" i="3"/>
  <c r="Z18" i="3"/>
  <c r="Z19" i="3"/>
  <c r="Z20" i="3"/>
  <c r="Z21" i="3"/>
  <c r="Z22" i="3"/>
  <c r="Z23" i="3"/>
  <c r="Z24" i="3"/>
  <c r="Z25" i="3"/>
  <c r="Z26" i="3"/>
  <c r="Z27" i="3"/>
  <c r="Z28" i="3"/>
  <c r="Z9" i="3"/>
  <c r="Z29" i="3" s="1"/>
  <c r="D27" i="36" l="1"/>
  <c r="E27" i="36"/>
  <c r="F27" i="36"/>
  <c r="G27" i="36"/>
  <c r="H27" i="36"/>
  <c r="I27" i="36"/>
  <c r="J27" i="36"/>
  <c r="K27" i="36"/>
  <c r="L27" i="36"/>
  <c r="M27" i="36"/>
  <c r="N27" i="36"/>
  <c r="C27" i="36"/>
  <c r="D26" i="22"/>
  <c r="D25" i="22"/>
  <c r="D24" i="22"/>
  <c r="D22" i="22"/>
  <c r="D21" i="22"/>
  <c r="D20" i="22"/>
  <c r="D18" i="22"/>
  <c r="D17" i="22"/>
  <c r="D16" i="22"/>
  <c r="D14" i="22"/>
  <c r="D13" i="22"/>
  <c r="D12" i="22"/>
  <c r="D10" i="22"/>
  <c r="D9" i="22"/>
  <c r="D8" i="22"/>
  <c r="D28" i="22"/>
  <c r="D27" i="22" s="1"/>
  <c r="I41" i="15"/>
  <c r="N10" i="36" l="1"/>
  <c r="N14" i="36"/>
  <c r="N18" i="36"/>
  <c r="N22" i="36"/>
  <c r="N26" i="36"/>
  <c r="N11" i="36"/>
  <c r="N15" i="36"/>
  <c r="N19" i="36"/>
  <c r="N23" i="36"/>
  <c r="N7" i="36"/>
  <c r="N8" i="36"/>
  <c r="N12" i="36"/>
  <c r="N16" i="36"/>
  <c r="N20" i="36"/>
  <c r="N24" i="36"/>
  <c r="N9" i="36"/>
  <c r="N13" i="36"/>
  <c r="N17" i="36"/>
  <c r="N21" i="36"/>
  <c r="N25" i="36"/>
  <c r="M10" i="36"/>
  <c r="M14" i="36"/>
  <c r="M18" i="36"/>
  <c r="M22" i="36"/>
  <c r="M26" i="36"/>
  <c r="M11" i="36"/>
  <c r="M15" i="36"/>
  <c r="M19" i="36"/>
  <c r="M23" i="36"/>
  <c r="M7" i="36"/>
  <c r="M8" i="36"/>
  <c r="M12" i="36"/>
  <c r="M16" i="36"/>
  <c r="M20" i="36"/>
  <c r="M24" i="36"/>
  <c r="M9" i="36"/>
  <c r="M13" i="36"/>
  <c r="M17" i="36"/>
  <c r="M21" i="36"/>
  <c r="M25" i="36"/>
  <c r="I10" i="36"/>
  <c r="I14" i="36"/>
  <c r="I18" i="36"/>
  <c r="I22" i="36"/>
  <c r="I26" i="36"/>
  <c r="I9" i="36"/>
  <c r="I17" i="36"/>
  <c r="I25" i="36"/>
  <c r="I11" i="36"/>
  <c r="I15" i="36"/>
  <c r="I19" i="36"/>
  <c r="I23" i="36"/>
  <c r="I7" i="36"/>
  <c r="I8" i="36"/>
  <c r="I12" i="36"/>
  <c r="I16" i="36"/>
  <c r="I20" i="36"/>
  <c r="I24" i="36"/>
  <c r="I13" i="36"/>
  <c r="I21" i="36"/>
  <c r="E10" i="36"/>
  <c r="E14" i="36"/>
  <c r="E18" i="36"/>
  <c r="E22" i="36"/>
  <c r="E26" i="36"/>
  <c r="E7" i="36"/>
  <c r="E11" i="36"/>
  <c r="E15" i="36"/>
  <c r="E19" i="36"/>
  <c r="E23" i="36"/>
  <c r="E8" i="36"/>
  <c r="E12" i="36"/>
  <c r="E16" i="36"/>
  <c r="E20" i="36"/>
  <c r="E24" i="36"/>
  <c r="E17" i="36"/>
  <c r="E21" i="36"/>
  <c r="E9" i="36"/>
  <c r="E13" i="36"/>
  <c r="E25" i="36"/>
  <c r="F10" i="36"/>
  <c r="F14" i="36"/>
  <c r="F18" i="36"/>
  <c r="F22" i="36"/>
  <c r="F26" i="36"/>
  <c r="F11" i="36"/>
  <c r="F15" i="36"/>
  <c r="F19" i="36"/>
  <c r="F23" i="36"/>
  <c r="F7" i="36"/>
  <c r="F8" i="36"/>
  <c r="F12" i="36"/>
  <c r="F16" i="36"/>
  <c r="F20" i="36"/>
  <c r="F24" i="36"/>
  <c r="F21" i="36"/>
  <c r="F13" i="36"/>
  <c r="F9" i="36"/>
  <c r="F25" i="36"/>
  <c r="F17" i="36"/>
  <c r="L10" i="36"/>
  <c r="L14" i="36"/>
  <c r="L18" i="36"/>
  <c r="L22" i="36"/>
  <c r="L26" i="36"/>
  <c r="L9" i="36"/>
  <c r="L11" i="36"/>
  <c r="L15" i="36"/>
  <c r="L19" i="36"/>
  <c r="L23" i="36"/>
  <c r="L7" i="36"/>
  <c r="L8" i="36"/>
  <c r="L12" i="36"/>
  <c r="L16" i="36"/>
  <c r="L20" i="36"/>
  <c r="L24" i="36"/>
  <c r="L13" i="36"/>
  <c r="L17" i="36"/>
  <c r="L21" i="36"/>
  <c r="L25" i="36"/>
  <c r="H24" i="36"/>
  <c r="H20" i="36"/>
  <c r="H16" i="36"/>
  <c r="H12" i="36"/>
  <c r="H8" i="36"/>
  <c r="H21" i="36"/>
  <c r="H13" i="36"/>
  <c r="H23" i="36"/>
  <c r="H19" i="36"/>
  <c r="H15" i="36"/>
  <c r="H11" i="36"/>
  <c r="H7" i="36"/>
  <c r="H26" i="36"/>
  <c r="H22" i="36"/>
  <c r="H18" i="36"/>
  <c r="H14" i="36"/>
  <c r="H10" i="36"/>
  <c r="H25" i="36"/>
  <c r="H17" i="36"/>
  <c r="H9" i="36"/>
  <c r="D10" i="36"/>
  <c r="D14" i="36"/>
  <c r="D18" i="36"/>
  <c r="D22" i="36"/>
  <c r="D26" i="36"/>
  <c r="D11" i="36"/>
  <c r="D15" i="36"/>
  <c r="D19" i="36"/>
  <c r="D23" i="36"/>
  <c r="D7" i="36"/>
  <c r="D8" i="36"/>
  <c r="D12" i="36"/>
  <c r="D16" i="36"/>
  <c r="D20" i="36"/>
  <c r="D24" i="36"/>
  <c r="D13" i="36"/>
  <c r="D21" i="36"/>
  <c r="D17" i="36"/>
  <c r="D9" i="36"/>
  <c r="D25" i="36"/>
  <c r="J10" i="36"/>
  <c r="J14" i="36"/>
  <c r="J18" i="36"/>
  <c r="J22" i="36"/>
  <c r="J26" i="36"/>
  <c r="J13" i="36"/>
  <c r="J21" i="36"/>
  <c r="J11" i="36"/>
  <c r="J15" i="36"/>
  <c r="J19" i="36"/>
  <c r="J23" i="36"/>
  <c r="J7" i="36"/>
  <c r="J8" i="36"/>
  <c r="J12" i="36"/>
  <c r="J16" i="36"/>
  <c r="J20" i="36"/>
  <c r="J24" i="36"/>
  <c r="J9" i="36"/>
  <c r="J17" i="36"/>
  <c r="J25" i="36"/>
  <c r="C10" i="36"/>
  <c r="C14" i="36"/>
  <c r="C18" i="36"/>
  <c r="C22" i="36"/>
  <c r="C26" i="36"/>
  <c r="C11" i="36"/>
  <c r="C15" i="36"/>
  <c r="C19" i="36"/>
  <c r="C23" i="36"/>
  <c r="C7" i="36"/>
  <c r="C8" i="36"/>
  <c r="C12" i="36"/>
  <c r="C16" i="36"/>
  <c r="C20" i="36"/>
  <c r="C24" i="36"/>
  <c r="C9" i="36"/>
  <c r="C25" i="36"/>
  <c r="C13" i="36"/>
  <c r="C17" i="36"/>
  <c r="C21" i="36"/>
  <c r="K10" i="36"/>
  <c r="K14" i="36"/>
  <c r="K18" i="36"/>
  <c r="K22" i="36"/>
  <c r="K26" i="36"/>
  <c r="K9" i="36"/>
  <c r="K17" i="36"/>
  <c r="K25" i="36"/>
  <c r="K11" i="36"/>
  <c r="K15" i="36"/>
  <c r="K19" i="36"/>
  <c r="K23" i="36"/>
  <c r="K7" i="36"/>
  <c r="K8" i="36"/>
  <c r="K12" i="36"/>
  <c r="K16" i="36"/>
  <c r="K20" i="36"/>
  <c r="K24" i="36"/>
  <c r="K13" i="36"/>
  <c r="K21" i="36"/>
  <c r="G10" i="36"/>
  <c r="G14" i="36"/>
  <c r="G18" i="36"/>
  <c r="G22" i="36"/>
  <c r="G26" i="36"/>
  <c r="G9" i="36"/>
  <c r="G17" i="36"/>
  <c r="G11" i="36"/>
  <c r="G15" i="36"/>
  <c r="G19" i="36"/>
  <c r="G23" i="36"/>
  <c r="G7" i="36"/>
  <c r="G8" i="36"/>
  <c r="G12" i="36"/>
  <c r="G16" i="36"/>
  <c r="G20" i="36"/>
  <c r="G24" i="36"/>
  <c r="G13" i="36"/>
  <c r="G25" i="36"/>
  <c r="G21" i="36"/>
  <c r="D11" i="22"/>
  <c r="D15" i="22"/>
  <c r="D19" i="22"/>
  <c r="D23" i="22"/>
  <c r="I79" i="15"/>
  <c r="I77" i="15"/>
  <c r="I76" i="15"/>
  <c r="I75" i="15"/>
  <c r="I72" i="15"/>
  <c r="N190" i="66"/>
  <c r="C10" i="65"/>
  <c r="C11" i="65"/>
  <c r="C12" i="65"/>
  <c r="C13" i="65"/>
  <c r="C14" i="65"/>
  <c r="C15" i="65"/>
  <c r="C16" i="65"/>
  <c r="C17" i="65"/>
  <c r="C18" i="65"/>
  <c r="C19" i="65"/>
  <c r="C20" i="65"/>
  <c r="C21" i="65"/>
  <c r="C22" i="65"/>
  <c r="C23" i="65"/>
  <c r="C24" i="65"/>
  <c r="C25" i="65"/>
  <c r="C26" i="65"/>
  <c r="C27" i="65"/>
  <c r="C28" i="65"/>
  <c r="C9" i="65"/>
  <c r="C139" i="66"/>
  <c r="D139" i="66"/>
  <c r="E139" i="66"/>
  <c r="F139" i="66"/>
  <c r="G139" i="66"/>
  <c r="H139" i="66"/>
  <c r="I139" i="66"/>
  <c r="J139" i="66"/>
  <c r="K139" i="66"/>
  <c r="L139" i="66"/>
  <c r="M139" i="66"/>
  <c r="B139" i="66"/>
  <c r="C129" i="66"/>
  <c r="D129" i="66"/>
  <c r="E129" i="66"/>
  <c r="F129" i="66"/>
  <c r="G129" i="66"/>
  <c r="H129" i="66"/>
  <c r="I129" i="66"/>
  <c r="J129" i="66"/>
  <c r="K129" i="66"/>
  <c r="L129" i="66"/>
  <c r="M129" i="66"/>
  <c r="B129" i="66"/>
  <c r="C118" i="66"/>
  <c r="D118" i="66"/>
  <c r="E118" i="66"/>
  <c r="F118" i="66"/>
  <c r="G118" i="66"/>
  <c r="H118" i="66"/>
  <c r="I118" i="66"/>
  <c r="J118" i="66"/>
  <c r="K118" i="66"/>
  <c r="L118" i="66"/>
  <c r="M118" i="66"/>
  <c r="B118" i="66"/>
  <c r="C93" i="66"/>
  <c r="D93" i="66"/>
  <c r="E93" i="66"/>
  <c r="F93" i="66"/>
  <c r="G93" i="66"/>
  <c r="H93" i="66"/>
  <c r="I93" i="66"/>
  <c r="J93" i="66"/>
  <c r="K93" i="66"/>
  <c r="L93" i="66"/>
  <c r="M93" i="66"/>
  <c r="B93" i="66"/>
  <c r="C81" i="66"/>
  <c r="D81" i="66"/>
  <c r="E81" i="66"/>
  <c r="F81" i="66"/>
  <c r="G81" i="66"/>
  <c r="H81" i="66"/>
  <c r="I81" i="66"/>
  <c r="J81" i="66"/>
  <c r="K81" i="66"/>
  <c r="L81" i="66"/>
  <c r="M81" i="66"/>
  <c r="B81" i="66"/>
  <c r="C69" i="66"/>
  <c r="D69" i="66"/>
  <c r="E69" i="66"/>
  <c r="F69" i="66"/>
  <c r="G69" i="66"/>
  <c r="H69" i="66"/>
  <c r="I69" i="66"/>
  <c r="J69" i="66"/>
  <c r="K69" i="66"/>
  <c r="L69" i="66"/>
  <c r="M69" i="66"/>
  <c r="B69" i="66"/>
  <c r="C57" i="66"/>
  <c r="D57" i="66"/>
  <c r="E57" i="66"/>
  <c r="F57" i="66"/>
  <c r="G57" i="66"/>
  <c r="H57" i="66"/>
  <c r="I57" i="66"/>
  <c r="J57" i="66"/>
  <c r="K57" i="66"/>
  <c r="L57" i="66"/>
  <c r="M57" i="66"/>
  <c r="B57" i="66"/>
  <c r="C45" i="66"/>
  <c r="D45" i="66"/>
  <c r="E45" i="66"/>
  <c r="F45" i="66"/>
  <c r="G45" i="66"/>
  <c r="H45" i="66"/>
  <c r="I45" i="66"/>
  <c r="J45" i="66"/>
  <c r="K45" i="66"/>
  <c r="L45" i="66"/>
  <c r="M45" i="66"/>
  <c r="B45" i="66"/>
  <c r="C34" i="66"/>
  <c r="D34" i="66"/>
  <c r="E34" i="66"/>
  <c r="F34" i="66"/>
  <c r="G34" i="66"/>
  <c r="H34" i="66"/>
  <c r="I34" i="66"/>
  <c r="J34" i="66"/>
  <c r="K34" i="66"/>
  <c r="L34" i="66"/>
  <c r="M34" i="66"/>
  <c r="B34" i="66"/>
  <c r="C20" i="66"/>
  <c r="D20" i="66"/>
  <c r="E20" i="66"/>
  <c r="F20" i="66"/>
  <c r="G20" i="66"/>
  <c r="H20" i="66"/>
  <c r="I20" i="66"/>
  <c r="J20" i="66"/>
  <c r="K20" i="66"/>
  <c r="L20" i="66"/>
  <c r="M20" i="66"/>
  <c r="B20" i="66"/>
  <c r="C7" i="66"/>
  <c r="D7" i="66"/>
  <c r="E7" i="66"/>
  <c r="F7" i="66"/>
  <c r="G7" i="66"/>
  <c r="H7" i="66"/>
  <c r="I7" i="66"/>
  <c r="J7" i="66"/>
  <c r="K7" i="66"/>
  <c r="L7" i="66"/>
  <c r="M7" i="66"/>
  <c r="B7" i="66"/>
  <c r="M113" i="71"/>
  <c r="L113" i="71"/>
  <c r="K113" i="71"/>
  <c r="J113" i="71"/>
  <c r="I113" i="71"/>
  <c r="H113" i="71"/>
  <c r="G113" i="71"/>
  <c r="F113" i="71"/>
  <c r="E113" i="71"/>
  <c r="D113" i="71"/>
  <c r="C113" i="71"/>
  <c r="B113" i="71"/>
  <c r="A114" i="71" s="1"/>
  <c r="M108" i="71"/>
  <c r="L108" i="71"/>
  <c r="K108" i="71"/>
  <c r="J108" i="71"/>
  <c r="I108" i="71"/>
  <c r="H108" i="71"/>
  <c r="G108" i="71"/>
  <c r="F108" i="71"/>
  <c r="E108" i="71"/>
  <c r="D108" i="71"/>
  <c r="C108" i="71"/>
  <c r="B108" i="71"/>
  <c r="N108" i="71" s="1"/>
  <c r="A108" i="71"/>
  <c r="N106" i="71"/>
  <c r="A106" i="71"/>
  <c r="K104" i="71" s="1"/>
  <c r="M104" i="71"/>
  <c r="J104" i="71"/>
  <c r="I104" i="71"/>
  <c r="F104" i="71"/>
  <c r="E104" i="71"/>
  <c r="B104" i="71"/>
  <c r="M98" i="71"/>
  <c r="L98" i="71"/>
  <c r="K98" i="71"/>
  <c r="J98" i="71"/>
  <c r="I98" i="71"/>
  <c r="H98" i="71"/>
  <c r="G98" i="71"/>
  <c r="F98" i="71"/>
  <c r="E98" i="71"/>
  <c r="D98" i="71"/>
  <c r="C98" i="71"/>
  <c r="B98" i="71"/>
  <c r="N98" i="71" s="1"/>
  <c r="N96" i="71"/>
  <c r="A96" i="71"/>
  <c r="A98" i="71" s="1"/>
  <c r="M88" i="71"/>
  <c r="L88" i="71"/>
  <c r="K88" i="71"/>
  <c r="J88" i="71"/>
  <c r="I88" i="71"/>
  <c r="H88" i="71"/>
  <c r="G88" i="71"/>
  <c r="F88" i="71"/>
  <c r="E88" i="71"/>
  <c r="D88" i="71"/>
  <c r="C88" i="71"/>
  <c r="B88" i="71"/>
  <c r="N88" i="71" s="1"/>
  <c r="A88" i="71"/>
  <c r="N86" i="71"/>
  <c r="A86" i="71"/>
  <c r="M84" i="71"/>
  <c r="L84" i="71"/>
  <c r="K84" i="71"/>
  <c r="J84" i="71"/>
  <c r="I84" i="71"/>
  <c r="H84" i="71"/>
  <c r="G84" i="71"/>
  <c r="F84" i="71"/>
  <c r="E84" i="71"/>
  <c r="D84" i="71"/>
  <c r="C84" i="71"/>
  <c r="B84" i="71"/>
  <c r="M78" i="71"/>
  <c r="L78" i="71"/>
  <c r="K78" i="71"/>
  <c r="J78" i="71"/>
  <c r="I78" i="71"/>
  <c r="H78" i="71"/>
  <c r="G78" i="71"/>
  <c r="F78" i="71"/>
  <c r="E78" i="71"/>
  <c r="D78" i="71"/>
  <c r="C78" i="71"/>
  <c r="B78" i="71"/>
  <c r="N78" i="71" s="1"/>
  <c r="A78" i="71"/>
  <c r="N76" i="71"/>
  <c r="A76" i="71"/>
  <c r="M74" i="71"/>
  <c r="L74" i="71"/>
  <c r="K74" i="71"/>
  <c r="J74" i="71"/>
  <c r="I74" i="71"/>
  <c r="H74" i="71"/>
  <c r="G74" i="71"/>
  <c r="F74" i="71"/>
  <c r="E74" i="71"/>
  <c r="D74" i="71"/>
  <c r="C74" i="71"/>
  <c r="A74" i="71" s="1"/>
  <c r="B74" i="71"/>
  <c r="M69" i="71"/>
  <c r="L69" i="71"/>
  <c r="K69" i="71"/>
  <c r="J69" i="71"/>
  <c r="I69" i="71"/>
  <c r="H69" i="71"/>
  <c r="G69" i="71"/>
  <c r="F69" i="71"/>
  <c r="E69" i="71"/>
  <c r="D69" i="71"/>
  <c r="C69" i="71"/>
  <c r="B69" i="71"/>
  <c r="N69" i="71" s="1"/>
  <c r="A69" i="71"/>
  <c r="N67" i="71"/>
  <c r="A67" i="71"/>
  <c r="K65" i="71" s="1"/>
  <c r="M65" i="71"/>
  <c r="L65" i="71"/>
  <c r="J65" i="71"/>
  <c r="I65" i="71"/>
  <c r="H65" i="71"/>
  <c r="F65" i="71"/>
  <c r="E65" i="71"/>
  <c r="D65" i="71"/>
  <c r="B65" i="71"/>
  <c r="M60" i="71"/>
  <c r="L60" i="71"/>
  <c r="K60" i="71"/>
  <c r="J60" i="71"/>
  <c r="I60" i="71"/>
  <c r="H60" i="71"/>
  <c r="G60" i="71"/>
  <c r="F60" i="71"/>
  <c r="E60" i="71"/>
  <c r="D60" i="71"/>
  <c r="C60" i="71"/>
  <c r="B60" i="71"/>
  <c r="N60" i="71" s="1"/>
  <c r="N58" i="71"/>
  <c r="A58" i="71"/>
  <c r="K56" i="71" s="1"/>
  <c r="M56" i="71"/>
  <c r="J56" i="71"/>
  <c r="I56" i="71"/>
  <c r="F56" i="71"/>
  <c r="E56" i="71"/>
  <c r="B56" i="71"/>
  <c r="M51" i="71"/>
  <c r="L51" i="71"/>
  <c r="K51" i="71"/>
  <c r="J51" i="71"/>
  <c r="I51" i="71"/>
  <c r="H51" i="71"/>
  <c r="G51" i="71"/>
  <c r="F51" i="71"/>
  <c r="E51" i="71"/>
  <c r="D51" i="71"/>
  <c r="C51" i="71"/>
  <c r="B51" i="71"/>
  <c r="N51" i="71" s="1"/>
  <c r="N49" i="71"/>
  <c r="A49" i="71"/>
  <c r="A51" i="71" s="1"/>
  <c r="M42" i="71"/>
  <c r="L42" i="71"/>
  <c r="K42" i="71"/>
  <c r="J42" i="71"/>
  <c r="I42" i="71"/>
  <c r="H42" i="71"/>
  <c r="G42" i="71"/>
  <c r="F42" i="71"/>
  <c r="E42" i="71"/>
  <c r="D42" i="71"/>
  <c r="C42" i="71"/>
  <c r="B42" i="71"/>
  <c r="N42" i="71" s="1"/>
  <c r="A42" i="71"/>
  <c r="N40" i="71"/>
  <c r="A40" i="71"/>
  <c r="M38" i="71"/>
  <c r="L38" i="71"/>
  <c r="K38" i="71"/>
  <c r="J38" i="71"/>
  <c r="I38" i="71"/>
  <c r="H38" i="71"/>
  <c r="G38" i="71"/>
  <c r="F38" i="71"/>
  <c r="E38" i="71"/>
  <c r="D38" i="71"/>
  <c r="C38" i="71"/>
  <c r="A38" i="71" s="1"/>
  <c r="B38" i="71"/>
  <c r="M33" i="71"/>
  <c r="L33" i="71"/>
  <c r="K33" i="71"/>
  <c r="J33" i="71"/>
  <c r="I33" i="71"/>
  <c r="H33" i="71"/>
  <c r="G33" i="71"/>
  <c r="F33" i="71"/>
  <c r="E33" i="71"/>
  <c r="N33" i="71" s="1"/>
  <c r="D33" i="71"/>
  <c r="C33" i="71"/>
  <c r="B33" i="71"/>
  <c r="A33" i="71"/>
  <c r="N31" i="71"/>
  <c r="A31" i="71"/>
  <c r="K29" i="71" s="1"/>
  <c r="M29" i="71"/>
  <c r="L29" i="71"/>
  <c r="J29" i="71"/>
  <c r="I29" i="71"/>
  <c r="H29" i="71"/>
  <c r="F29" i="71"/>
  <c r="E29" i="71"/>
  <c r="D29" i="71"/>
  <c r="B29" i="71"/>
  <c r="M21" i="71"/>
  <c r="L21" i="71"/>
  <c r="K21" i="71"/>
  <c r="J21" i="71"/>
  <c r="I21" i="71"/>
  <c r="H21" i="71"/>
  <c r="G21" i="71"/>
  <c r="F21" i="71"/>
  <c r="E21" i="71"/>
  <c r="D21" i="71"/>
  <c r="C21" i="71"/>
  <c r="B21" i="71"/>
  <c r="N21" i="71" s="1"/>
  <c r="M20" i="71"/>
  <c r="L20" i="71"/>
  <c r="K20" i="71"/>
  <c r="J20" i="71"/>
  <c r="I20" i="71"/>
  <c r="H20" i="71"/>
  <c r="G20" i="71"/>
  <c r="F20" i="71"/>
  <c r="E20" i="71"/>
  <c r="D20" i="71"/>
  <c r="C20" i="71"/>
  <c r="B20" i="71"/>
  <c r="N20" i="71" s="1"/>
  <c r="N19" i="71"/>
  <c r="A19" i="71"/>
  <c r="L17" i="71" s="1"/>
  <c r="M12" i="71"/>
  <c r="M116" i="71" s="1"/>
  <c r="L12" i="71"/>
  <c r="L116" i="71" s="1"/>
  <c r="K12" i="71"/>
  <c r="K116" i="71" s="1"/>
  <c r="J12" i="71"/>
  <c r="J116" i="71" s="1"/>
  <c r="I12" i="71"/>
  <c r="I116" i="71" s="1"/>
  <c r="H12" i="71"/>
  <c r="H116" i="71" s="1"/>
  <c r="G12" i="71"/>
  <c r="G116" i="71" s="1"/>
  <c r="F12" i="71"/>
  <c r="F116" i="71" s="1"/>
  <c r="E12" i="71"/>
  <c r="E116" i="71" s="1"/>
  <c r="D12" i="71"/>
  <c r="D116" i="71" s="1"/>
  <c r="C12" i="71"/>
  <c r="C116" i="71" s="1"/>
  <c r="B12" i="71"/>
  <c r="B116" i="71" s="1"/>
  <c r="A12" i="71"/>
  <c r="N10" i="71"/>
  <c r="P106" i="71" s="1"/>
  <c r="A10" i="71"/>
  <c r="A113" i="71" s="1"/>
  <c r="M7" i="71"/>
  <c r="L7" i="71"/>
  <c r="K7" i="71"/>
  <c r="J7" i="71"/>
  <c r="I7" i="71"/>
  <c r="H7" i="71"/>
  <c r="G7" i="71"/>
  <c r="F7" i="71"/>
  <c r="E7" i="71"/>
  <c r="D7" i="71"/>
  <c r="C7" i="71"/>
  <c r="A7" i="71" s="1"/>
  <c r="B7" i="71"/>
  <c r="N22" i="71" l="1"/>
  <c r="A116" i="71"/>
  <c r="A118" i="71" s="1"/>
  <c r="B17" i="71"/>
  <c r="J17" i="71"/>
  <c r="J94" i="71"/>
  <c r="K17" i="71"/>
  <c r="K47" i="71"/>
  <c r="E17" i="71"/>
  <c r="I17" i="71"/>
  <c r="M17" i="71"/>
  <c r="C29" i="71"/>
  <c r="G29" i="71"/>
  <c r="E47" i="71"/>
  <c r="I47" i="71"/>
  <c r="M47" i="71"/>
  <c r="D56" i="71"/>
  <c r="H56" i="71"/>
  <c r="L56" i="71"/>
  <c r="A60" i="71"/>
  <c r="C65" i="71"/>
  <c r="A65" i="71" s="1"/>
  <c r="G65" i="71"/>
  <c r="E94" i="71"/>
  <c r="I94" i="71"/>
  <c r="M94" i="71"/>
  <c r="D104" i="71"/>
  <c r="H104" i="71"/>
  <c r="L104" i="71"/>
  <c r="F17" i="71"/>
  <c r="F47" i="71"/>
  <c r="B94" i="71"/>
  <c r="F94" i="71"/>
  <c r="G17" i="71"/>
  <c r="C47" i="71"/>
  <c r="G47" i="71"/>
  <c r="C94" i="71"/>
  <c r="G94" i="71"/>
  <c r="K94" i="71"/>
  <c r="B47" i="71"/>
  <c r="J47" i="71"/>
  <c r="C17" i="71"/>
  <c r="N12" i="71"/>
  <c r="P108" i="71" s="1"/>
  <c r="D17" i="71"/>
  <c r="H17" i="71"/>
  <c r="D47" i="71"/>
  <c r="H47" i="71"/>
  <c r="L47" i="71"/>
  <c r="C56" i="71"/>
  <c r="G56" i="71"/>
  <c r="D94" i="71"/>
  <c r="H94" i="71"/>
  <c r="L94" i="71"/>
  <c r="C104" i="71"/>
  <c r="A104" i="71" s="1"/>
  <c r="G104" i="71"/>
  <c r="A56" i="71" l="1"/>
  <c r="A29" i="71"/>
  <c r="A17" i="71"/>
  <c r="A94" i="71"/>
  <c r="A47" i="71"/>
  <c r="M188" i="66" l="1"/>
  <c r="M192" i="66" s="1"/>
  <c r="L188" i="66"/>
  <c r="L192" i="66" s="1"/>
  <c r="K188" i="66"/>
  <c r="K192" i="66" s="1"/>
  <c r="J188" i="66"/>
  <c r="J192" i="66" s="1"/>
  <c r="I188" i="66"/>
  <c r="I192" i="66" s="1"/>
  <c r="H188" i="66"/>
  <c r="H192" i="66" s="1"/>
  <c r="G188" i="66"/>
  <c r="G192" i="66" s="1"/>
  <c r="F188" i="66"/>
  <c r="F192" i="66" s="1"/>
  <c r="E188" i="66"/>
  <c r="E192" i="66" s="1"/>
  <c r="D188" i="66"/>
  <c r="D192" i="66" s="1"/>
  <c r="C188" i="66"/>
  <c r="C192" i="66" s="1"/>
  <c r="B188" i="66"/>
  <c r="B192" i="66" l="1"/>
  <c r="A188" i="66"/>
  <c r="N192" i="66" l="1"/>
  <c r="B5" i="67"/>
  <c r="B6" i="67"/>
  <c r="B7" i="67"/>
  <c r="B8" i="67"/>
  <c r="B9" i="67"/>
  <c r="B10" i="67"/>
  <c r="B11" i="67"/>
  <c r="B12" i="67"/>
  <c r="B13" i="67"/>
  <c r="B14" i="67"/>
  <c r="B15" i="67"/>
  <c r="B16" i="67"/>
  <c r="B17" i="67"/>
  <c r="B18" i="67"/>
  <c r="B19" i="67"/>
  <c r="B20" i="67"/>
  <c r="B21" i="67"/>
  <c r="B22" i="67"/>
  <c r="B23" i="67"/>
  <c r="B4" i="67"/>
  <c r="O27" i="70"/>
  <c r="N27" i="70"/>
  <c r="M27" i="70"/>
  <c r="L27" i="70"/>
  <c r="K27" i="70"/>
  <c r="J27" i="70"/>
  <c r="I27" i="70"/>
  <c r="H27" i="70"/>
  <c r="G27" i="70"/>
  <c r="F27" i="70"/>
  <c r="E27" i="70"/>
  <c r="D27" i="70"/>
  <c r="C27" i="70"/>
  <c r="P26" i="70"/>
  <c r="P25" i="70"/>
  <c r="P24" i="70"/>
  <c r="P23" i="70"/>
  <c r="P22" i="70"/>
  <c r="P21" i="70"/>
  <c r="P20" i="70"/>
  <c r="P19" i="70"/>
  <c r="P18" i="70"/>
  <c r="P17" i="70"/>
  <c r="P16" i="70"/>
  <c r="P15" i="70"/>
  <c r="P14" i="70"/>
  <c r="P13" i="70"/>
  <c r="P12" i="70"/>
  <c r="P11" i="70"/>
  <c r="P10" i="70"/>
  <c r="P9" i="70"/>
  <c r="P8" i="70"/>
  <c r="P7" i="70"/>
  <c r="P27" i="70" s="1"/>
  <c r="N27" i="69"/>
  <c r="M27" i="69"/>
  <c r="L27" i="69"/>
  <c r="K27" i="69"/>
  <c r="J27" i="69"/>
  <c r="I27" i="69"/>
  <c r="H27" i="69"/>
  <c r="G27" i="69"/>
  <c r="F27" i="69"/>
  <c r="E27" i="69"/>
  <c r="D27" i="69"/>
  <c r="C27" i="69"/>
  <c r="O26" i="69"/>
  <c r="O25" i="69"/>
  <c r="O24" i="69"/>
  <c r="O23" i="69"/>
  <c r="O22" i="69"/>
  <c r="O21" i="69"/>
  <c r="O20" i="69"/>
  <c r="O19" i="69"/>
  <c r="O18" i="69"/>
  <c r="O17" i="69"/>
  <c r="O16" i="69"/>
  <c r="O15" i="69"/>
  <c r="O14" i="69"/>
  <c r="O13" i="69"/>
  <c r="O12" i="69"/>
  <c r="O11" i="69"/>
  <c r="O10" i="69"/>
  <c r="O9" i="69"/>
  <c r="O8" i="69"/>
  <c r="O7" i="69"/>
  <c r="AJ27" i="3" l="1"/>
  <c r="AJ23" i="3"/>
  <c r="AJ19" i="3"/>
  <c r="AJ15" i="3"/>
  <c r="AJ11" i="3"/>
  <c r="AJ26" i="3"/>
  <c r="AJ18" i="3"/>
  <c r="AJ14" i="3"/>
  <c r="AJ25" i="3"/>
  <c r="AJ21" i="3"/>
  <c r="AJ17" i="3"/>
  <c r="AJ13" i="3"/>
  <c r="AJ28" i="3"/>
  <c r="AJ24" i="3"/>
  <c r="AJ20" i="3"/>
  <c r="AJ16" i="3"/>
  <c r="AJ12" i="3"/>
  <c r="AJ22" i="3"/>
  <c r="AJ10" i="3"/>
  <c r="AJ9" i="3"/>
  <c r="E193" i="66"/>
  <c r="E194" i="66" s="1"/>
  <c r="F24" i="68" s="1"/>
  <c r="I193" i="66"/>
  <c r="I194" i="66" s="1"/>
  <c r="J24" i="68" s="1"/>
  <c r="M193" i="66"/>
  <c r="M194" i="66" s="1"/>
  <c r="N24" i="68" s="1"/>
  <c r="D193" i="66"/>
  <c r="D194" i="66" s="1"/>
  <c r="E24" i="68" s="1"/>
  <c r="J193" i="66"/>
  <c r="J194" i="66" s="1"/>
  <c r="K24" i="68" s="1"/>
  <c r="C193" i="66"/>
  <c r="C194" i="66" s="1"/>
  <c r="D24" i="68" s="1"/>
  <c r="H193" i="66"/>
  <c r="H194" i="66" s="1"/>
  <c r="I24" i="68" s="1"/>
  <c r="G193" i="66"/>
  <c r="G194" i="66" s="1"/>
  <c r="H24" i="68" s="1"/>
  <c r="L193" i="66"/>
  <c r="L194" i="66" s="1"/>
  <c r="M24" i="68" s="1"/>
  <c r="K193" i="66"/>
  <c r="K194" i="66" s="1"/>
  <c r="L24" i="68" s="1"/>
  <c r="F193" i="66"/>
  <c r="F194" i="66" s="1"/>
  <c r="G24" i="68" s="1"/>
  <c r="B193" i="66"/>
  <c r="B194" i="66" s="1"/>
  <c r="C24" i="68" s="1"/>
  <c r="O27" i="69"/>
  <c r="AJ29" i="3" l="1"/>
  <c r="B24" i="67"/>
  <c r="D31" i="41"/>
  <c r="E31" i="41"/>
  <c r="F31" i="41"/>
  <c r="G31" i="41"/>
  <c r="H31" i="41"/>
  <c r="I31" i="41"/>
  <c r="J31" i="41"/>
  <c r="K31" i="41"/>
  <c r="L31" i="41"/>
  <c r="M31" i="41"/>
  <c r="N31" i="41"/>
  <c r="C31" i="41"/>
  <c r="F27" i="42"/>
  <c r="F11" i="42" s="1"/>
  <c r="D27" i="42"/>
  <c r="D10" i="42" s="1"/>
  <c r="E27" i="42"/>
  <c r="E10" i="42" s="1"/>
  <c r="G27" i="42"/>
  <c r="G11" i="42" s="1"/>
  <c r="H27" i="42"/>
  <c r="H11" i="42" s="1"/>
  <c r="I27" i="42"/>
  <c r="I11" i="42" s="1"/>
  <c r="J27" i="42"/>
  <c r="J11" i="42" s="1"/>
  <c r="K27" i="42"/>
  <c r="K11" i="42" s="1"/>
  <c r="L27" i="42"/>
  <c r="L11" i="42" s="1"/>
  <c r="M27" i="42"/>
  <c r="M11" i="42" s="1"/>
  <c r="N27" i="42"/>
  <c r="N11" i="42" s="1"/>
  <c r="C27" i="42"/>
  <c r="C10" i="42" s="1"/>
  <c r="L25" i="42" l="1"/>
  <c r="F25" i="42"/>
  <c r="E12" i="42"/>
  <c r="J17" i="42"/>
  <c r="N20" i="42"/>
  <c r="H21" i="42"/>
  <c r="J25" i="42"/>
  <c r="L9" i="42"/>
  <c r="E20" i="42"/>
  <c r="F9" i="42"/>
  <c r="J9" i="42"/>
  <c r="N12" i="42"/>
  <c r="C16" i="42"/>
  <c r="G20" i="42"/>
  <c r="C7" i="42"/>
  <c r="C19" i="42"/>
  <c r="C11" i="42"/>
  <c r="E23" i="42"/>
  <c r="E15" i="42"/>
  <c r="F13" i="42"/>
  <c r="G21" i="42"/>
  <c r="G13" i="42"/>
  <c r="H25" i="42"/>
  <c r="H9" i="42"/>
  <c r="J20" i="42"/>
  <c r="J12" i="42"/>
  <c r="K24" i="42"/>
  <c r="K16" i="42"/>
  <c r="K8" i="42"/>
  <c r="L13" i="42"/>
  <c r="N21" i="42"/>
  <c r="N13" i="42"/>
  <c r="K13" i="42"/>
  <c r="C23" i="42"/>
  <c r="C15" i="42"/>
  <c r="E7" i="42"/>
  <c r="E19" i="42"/>
  <c r="E11" i="42"/>
  <c r="F21" i="42"/>
  <c r="G25" i="42"/>
  <c r="G17" i="42"/>
  <c r="G9" i="42"/>
  <c r="H17" i="42"/>
  <c r="J24" i="42"/>
  <c r="J16" i="42"/>
  <c r="J8" i="42"/>
  <c r="K20" i="42"/>
  <c r="K12" i="42"/>
  <c r="L21" i="42"/>
  <c r="N25" i="42"/>
  <c r="N17" i="42"/>
  <c r="N9" i="42"/>
  <c r="C24" i="42"/>
  <c r="C8" i="42"/>
  <c r="G12" i="42"/>
  <c r="K21" i="42"/>
  <c r="C20" i="42"/>
  <c r="C12" i="42"/>
  <c r="E24" i="42"/>
  <c r="E16" i="42"/>
  <c r="E8" i="42"/>
  <c r="F17" i="42"/>
  <c r="G24" i="42"/>
  <c r="G16" i="42"/>
  <c r="G8" i="42"/>
  <c r="H13" i="42"/>
  <c r="J21" i="42"/>
  <c r="J13" i="42"/>
  <c r="K25" i="42"/>
  <c r="K17" i="42"/>
  <c r="K9" i="42"/>
  <c r="L17" i="42"/>
  <c r="N24" i="42"/>
  <c r="N16" i="42"/>
  <c r="D20" i="42"/>
  <c r="D12" i="42"/>
  <c r="I25" i="42"/>
  <c r="I13" i="42"/>
  <c r="M25" i="42"/>
  <c r="M13" i="42"/>
  <c r="D23" i="42"/>
  <c r="F24" i="42"/>
  <c r="F12" i="42"/>
  <c r="H20" i="42"/>
  <c r="H8" i="42"/>
  <c r="I20" i="42"/>
  <c r="I8" i="42"/>
  <c r="L16" i="42"/>
  <c r="M24" i="42"/>
  <c r="C25" i="42"/>
  <c r="C21" i="42"/>
  <c r="C17" i="42"/>
  <c r="C13" i="42"/>
  <c r="C9" i="42"/>
  <c r="D25" i="42"/>
  <c r="D21" i="42"/>
  <c r="D17" i="42"/>
  <c r="D13" i="42"/>
  <c r="D9" i="42"/>
  <c r="E25" i="42"/>
  <c r="E21" i="42"/>
  <c r="E17" i="42"/>
  <c r="E13" i="42"/>
  <c r="E9" i="42"/>
  <c r="F26" i="42"/>
  <c r="F22" i="42"/>
  <c r="F18" i="42"/>
  <c r="F14" i="42"/>
  <c r="F10" i="42"/>
  <c r="G26" i="42"/>
  <c r="G22" i="42"/>
  <c r="G18" i="42"/>
  <c r="G14" i="42"/>
  <c r="G10" i="42"/>
  <c r="H26" i="42"/>
  <c r="H22" i="42"/>
  <c r="H18" i="42"/>
  <c r="H14" i="42"/>
  <c r="H10" i="42"/>
  <c r="I26" i="42"/>
  <c r="I22" i="42"/>
  <c r="I18" i="42"/>
  <c r="I14" i="42"/>
  <c r="I10" i="42"/>
  <c r="J26" i="42"/>
  <c r="J22" i="42"/>
  <c r="J18" i="42"/>
  <c r="J14" i="42"/>
  <c r="J10" i="42"/>
  <c r="K26" i="42"/>
  <c r="K22" i="42"/>
  <c r="K18" i="42"/>
  <c r="K14" i="42"/>
  <c r="K10" i="42"/>
  <c r="L26" i="42"/>
  <c r="L22" i="42"/>
  <c r="L18" i="42"/>
  <c r="L14" i="42"/>
  <c r="L10" i="42"/>
  <c r="M26" i="42"/>
  <c r="M22" i="42"/>
  <c r="M18" i="42"/>
  <c r="M14" i="42"/>
  <c r="M10" i="42"/>
  <c r="N26" i="42"/>
  <c r="N22" i="42"/>
  <c r="N18" i="42"/>
  <c r="N14" i="42"/>
  <c r="N10" i="42"/>
  <c r="D24" i="42"/>
  <c r="D8" i="42"/>
  <c r="I21" i="42"/>
  <c r="I9" i="42"/>
  <c r="M17" i="42"/>
  <c r="M9" i="42"/>
  <c r="D15" i="42"/>
  <c r="F16" i="42"/>
  <c r="H12" i="42"/>
  <c r="I12" i="42"/>
  <c r="L20" i="42"/>
  <c r="L8" i="42"/>
  <c r="M16" i="42"/>
  <c r="M12" i="42"/>
  <c r="M8" i="42"/>
  <c r="N8" i="42"/>
  <c r="D16" i="42"/>
  <c r="I17" i="42"/>
  <c r="M21" i="42"/>
  <c r="D7" i="42"/>
  <c r="D19" i="42"/>
  <c r="D11" i="42"/>
  <c r="F20" i="42"/>
  <c r="F8" i="42"/>
  <c r="H24" i="42"/>
  <c r="H16" i="42"/>
  <c r="I24" i="42"/>
  <c r="I16" i="42"/>
  <c r="L24" i="42"/>
  <c r="L12" i="42"/>
  <c r="M20" i="42"/>
  <c r="C26" i="42"/>
  <c r="C22" i="42"/>
  <c r="C18" i="42"/>
  <c r="C14" i="42"/>
  <c r="D26" i="42"/>
  <c r="D22" i="42"/>
  <c r="D18" i="42"/>
  <c r="D14" i="42"/>
  <c r="E26" i="42"/>
  <c r="E22" i="42"/>
  <c r="E18" i="42"/>
  <c r="E14" i="42"/>
  <c r="F7" i="42"/>
  <c r="F23" i="42"/>
  <c r="F19" i="42"/>
  <c r="F15" i="42"/>
  <c r="G7" i="42"/>
  <c r="G23" i="42"/>
  <c r="G19" i="42"/>
  <c r="G15" i="42"/>
  <c r="H7" i="42"/>
  <c r="H23" i="42"/>
  <c r="H19" i="42"/>
  <c r="H15" i="42"/>
  <c r="I7" i="42"/>
  <c r="I23" i="42"/>
  <c r="I19" i="42"/>
  <c r="I15" i="42"/>
  <c r="J7" i="42"/>
  <c r="J23" i="42"/>
  <c r="J19" i="42"/>
  <c r="J15" i="42"/>
  <c r="K7" i="42"/>
  <c r="K23" i="42"/>
  <c r="K19" i="42"/>
  <c r="K15" i="42"/>
  <c r="L7" i="42"/>
  <c r="L23" i="42"/>
  <c r="L19" i="42"/>
  <c r="L15" i="42"/>
  <c r="M7" i="42"/>
  <c r="M23" i="42"/>
  <c r="M19" i="42"/>
  <c r="M15" i="42"/>
  <c r="N7" i="42"/>
  <c r="N23" i="42"/>
  <c r="N19" i="42"/>
  <c r="N15" i="42"/>
  <c r="D32" i="45"/>
  <c r="E32" i="45"/>
  <c r="F32" i="45"/>
  <c r="G32" i="45"/>
  <c r="H32" i="45"/>
  <c r="I32" i="45"/>
  <c r="J32" i="45"/>
  <c r="K32" i="45"/>
  <c r="L32" i="45"/>
  <c r="M32" i="45"/>
  <c r="N32" i="45"/>
  <c r="C32" i="45"/>
  <c r="D32" i="39"/>
  <c r="E32" i="39"/>
  <c r="F32" i="39"/>
  <c r="G32" i="39"/>
  <c r="H32" i="39"/>
  <c r="I32" i="39"/>
  <c r="J32" i="39"/>
  <c r="K32" i="39"/>
  <c r="L32" i="39"/>
  <c r="M32" i="39"/>
  <c r="N32" i="39"/>
  <c r="C32" i="39"/>
  <c r="O31" i="47"/>
  <c r="D31" i="47"/>
  <c r="E31" i="47"/>
  <c r="F31" i="47"/>
  <c r="G31" i="47"/>
  <c r="H31" i="47"/>
  <c r="I31" i="47"/>
  <c r="J31" i="47"/>
  <c r="K31" i="47"/>
  <c r="L31" i="47"/>
  <c r="M31" i="47"/>
  <c r="N31" i="47"/>
  <c r="C31" i="47"/>
  <c r="C30" i="48"/>
  <c r="N175" i="66"/>
  <c r="A175" i="66"/>
  <c r="N169" i="66"/>
  <c r="A169" i="66"/>
  <c r="M163" i="66"/>
  <c r="L163" i="66"/>
  <c r="K163" i="66"/>
  <c r="J163" i="66"/>
  <c r="I163" i="66"/>
  <c r="H163" i="66"/>
  <c r="G163" i="66"/>
  <c r="F163" i="66"/>
  <c r="E163" i="66"/>
  <c r="D163" i="66"/>
  <c r="C163" i="66"/>
  <c r="B163" i="66"/>
  <c r="N163" i="66" s="1"/>
  <c r="A161" i="66"/>
  <c r="A160" i="66"/>
  <c r="A159" i="66"/>
  <c r="M152" i="66"/>
  <c r="L152" i="66"/>
  <c r="K152" i="66"/>
  <c r="J152" i="66"/>
  <c r="I152" i="66"/>
  <c r="H152" i="66"/>
  <c r="G152" i="66"/>
  <c r="F152" i="66"/>
  <c r="E152" i="66"/>
  <c r="D152" i="66"/>
  <c r="C152" i="66"/>
  <c r="B152" i="66"/>
  <c r="N152" i="66" s="1"/>
  <c r="A150" i="66"/>
  <c r="A152" i="66" s="1"/>
  <c r="A143" i="66"/>
  <c r="M141" i="66"/>
  <c r="M143" i="66" s="1"/>
  <c r="L141" i="66"/>
  <c r="L143" i="66" s="1"/>
  <c r="K141" i="66"/>
  <c r="K143" i="66" s="1"/>
  <c r="J141" i="66"/>
  <c r="J143" i="66" s="1"/>
  <c r="I141" i="66"/>
  <c r="I143" i="66" s="1"/>
  <c r="H141" i="66"/>
  <c r="H143" i="66" s="1"/>
  <c r="G141" i="66"/>
  <c r="G143" i="66" s="1"/>
  <c r="F141" i="66"/>
  <c r="F143" i="66" s="1"/>
  <c r="E141" i="66"/>
  <c r="E143" i="66" s="1"/>
  <c r="D141" i="66"/>
  <c r="D143" i="66" s="1"/>
  <c r="B141" i="66"/>
  <c r="A133" i="66"/>
  <c r="M131" i="66"/>
  <c r="M133" i="66" s="1"/>
  <c r="L131" i="66"/>
  <c r="L133" i="66" s="1"/>
  <c r="K131" i="66"/>
  <c r="K133" i="66" s="1"/>
  <c r="J131" i="66"/>
  <c r="J133" i="66" s="1"/>
  <c r="I131" i="66"/>
  <c r="I133" i="66" s="1"/>
  <c r="H131" i="66"/>
  <c r="H133" i="66" s="1"/>
  <c r="G131" i="66"/>
  <c r="G133" i="66" s="1"/>
  <c r="F131" i="66"/>
  <c r="F133" i="66" s="1"/>
  <c r="E131" i="66"/>
  <c r="E133" i="66" s="1"/>
  <c r="D131" i="66"/>
  <c r="D133" i="66" s="1"/>
  <c r="C131" i="66"/>
  <c r="C133" i="66" s="1"/>
  <c r="B131" i="66"/>
  <c r="A122" i="66"/>
  <c r="M120" i="66"/>
  <c r="M122" i="66" s="1"/>
  <c r="L120" i="66"/>
  <c r="L122" i="66" s="1"/>
  <c r="K120" i="66"/>
  <c r="K122" i="66" s="1"/>
  <c r="J120" i="66"/>
  <c r="J122" i="66" s="1"/>
  <c r="I120" i="66"/>
  <c r="I122" i="66" s="1"/>
  <c r="H120" i="66"/>
  <c r="H122" i="66" s="1"/>
  <c r="G120" i="66"/>
  <c r="G122" i="66" s="1"/>
  <c r="F120" i="66"/>
  <c r="F122" i="66" s="1"/>
  <c r="E120" i="66"/>
  <c r="E122" i="66" s="1"/>
  <c r="D120" i="66"/>
  <c r="D122" i="66" s="1"/>
  <c r="B120" i="66"/>
  <c r="A110" i="66"/>
  <c r="A106" i="66"/>
  <c r="A97" i="66"/>
  <c r="M95" i="66"/>
  <c r="M97" i="66" s="1"/>
  <c r="L95" i="66"/>
  <c r="L97" i="66" s="1"/>
  <c r="K95" i="66"/>
  <c r="K97" i="66" s="1"/>
  <c r="J95" i="66"/>
  <c r="J97" i="66" s="1"/>
  <c r="I95" i="66"/>
  <c r="I97" i="66" s="1"/>
  <c r="H95" i="66"/>
  <c r="H97" i="66" s="1"/>
  <c r="G95" i="66"/>
  <c r="G97" i="66" s="1"/>
  <c r="F95" i="66"/>
  <c r="F97" i="66" s="1"/>
  <c r="E95" i="66"/>
  <c r="E97" i="66" s="1"/>
  <c r="D95" i="66"/>
  <c r="D97" i="66" s="1"/>
  <c r="C95" i="66"/>
  <c r="C97" i="66" s="1"/>
  <c r="B95" i="66"/>
  <c r="A85" i="66"/>
  <c r="M83" i="66"/>
  <c r="L83" i="66"/>
  <c r="K83" i="66"/>
  <c r="J83" i="66"/>
  <c r="I83" i="66"/>
  <c r="H83" i="66"/>
  <c r="G83" i="66"/>
  <c r="F83" i="66"/>
  <c r="E83" i="66"/>
  <c r="D83" i="66"/>
  <c r="C83" i="66"/>
  <c r="C85" i="66" s="1"/>
  <c r="D24" i="33" s="1"/>
  <c r="B83" i="66"/>
  <c r="A73" i="66"/>
  <c r="M73" i="66"/>
  <c r="L73" i="66"/>
  <c r="K73" i="66"/>
  <c r="J73" i="66"/>
  <c r="I73" i="66"/>
  <c r="H73" i="66"/>
  <c r="G73" i="66"/>
  <c r="F73" i="66"/>
  <c r="E73" i="66"/>
  <c r="D73" i="66"/>
  <c r="A61" i="66"/>
  <c r="M59" i="66"/>
  <c r="M61" i="66" s="1"/>
  <c r="M63" i="66" s="1"/>
  <c r="M64" i="66" s="1"/>
  <c r="L59" i="66"/>
  <c r="L61" i="66" s="1"/>
  <c r="M31" i="39" s="1"/>
  <c r="K59" i="66"/>
  <c r="K61" i="66" s="1"/>
  <c r="K63" i="66" s="1"/>
  <c r="K64" i="66" s="1"/>
  <c r="J59" i="66"/>
  <c r="J61" i="66" s="1"/>
  <c r="J63" i="66" s="1"/>
  <c r="J64" i="66" s="1"/>
  <c r="I59" i="66"/>
  <c r="I61" i="66" s="1"/>
  <c r="H59" i="66"/>
  <c r="H61" i="66" s="1"/>
  <c r="H63" i="66" s="1"/>
  <c r="H64" i="66" s="1"/>
  <c r="G59" i="66"/>
  <c r="G61" i="66" s="1"/>
  <c r="G63" i="66" s="1"/>
  <c r="G64" i="66" s="1"/>
  <c r="F59" i="66"/>
  <c r="F61" i="66" s="1"/>
  <c r="F63" i="66" s="1"/>
  <c r="F64" i="66" s="1"/>
  <c r="E59" i="66"/>
  <c r="E61" i="66" s="1"/>
  <c r="E63" i="66" s="1"/>
  <c r="E64" i="66" s="1"/>
  <c r="D59" i="66"/>
  <c r="D61" i="66" s="1"/>
  <c r="D63" i="66" s="1"/>
  <c r="D64" i="66" s="1"/>
  <c r="C59" i="66"/>
  <c r="C61" i="66" s="1"/>
  <c r="C63" i="66" s="1"/>
  <c r="C64" i="66" s="1"/>
  <c r="B59" i="66"/>
  <c r="A49" i="66"/>
  <c r="M47" i="66"/>
  <c r="M49" i="66" s="1"/>
  <c r="M51" i="66" s="1"/>
  <c r="L47" i="66"/>
  <c r="L49" i="66" s="1"/>
  <c r="L51" i="66" s="1"/>
  <c r="K47" i="66"/>
  <c r="K49" i="66" s="1"/>
  <c r="K51" i="66" s="1"/>
  <c r="J47" i="66"/>
  <c r="J49" i="66" s="1"/>
  <c r="J51" i="66" s="1"/>
  <c r="I47" i="66"/>
  <c r="I49" i="66" s="1"/>
  <c r="I51" i="66" s="1"/>
  <c r="H47" i="66"/>
  <c r="H49" i="66" s="1"/>
  <c r="H51" i="66" s="1"/>
  <c r="G47" i="66"/>
  <c r="G49" i="66" s="1"/>
  <c r="G51" i="66" s="1"/>
  <c r="F47" i="66"/>
  <c r="F49" i="66" s="1"/>
  <c r="F51" i="66" s="1"/>
  <c r="E47" i="66"/>
  <c r="E49" i="66" s="1"/>
  <c r="E51" i="66" s="1"/>
  <c r="D47" i="66"/>
  <c r="D49" i="66" s="1"/>
  <c r="D51" i="66" s="1"/>
  <c r="C47" i="66"/>
  <c r="C49" i="66" s="1"/>
  <c r="C51" i="66" s="1"/>
  <c r="B47" i="66"/>
  <c r="A38" i="66"/>
  <c r="M36" i="66"/>
  <c r="M38" i="66" s="1"/>
  <c r="L36" i="66"/>
  <c r="L38" i="66" s="1"/>
  <c r="K36" i="66"/>
  <c r="K38" i="66" s="1"/>
  <c r="J36" i="66"/>
  <c r="J38" i="66" s="1"/>
  <c r="I36" i="66"/>
  <c r="I38" i="66" s="1"/>
  <c r="H36" i="66"/>
  <c r="H38" i="66" s="1"/>
  <c r="G36" i="66"/>
  <c r="G38" i="66" s="1"/>
  <c r="F36" i="66"/>
  <c r="F38" i="66" s="1"/>
  <c r="E36" i="66"/>
  <c r="E38" i="66" s="1"/>
  <c r="D36" i="66"/>
  <c r="D38" i="66" s="1"/>
  <c r="C36" i="66"/>
  <c r="C38" i="66" s="1"/>
  <c r="B36" i="66"/>
  <c r="M22" i="66"/>
  <c r="M24" i="66" s="1"/>
  <c r="L22" i="66"/>
  <c r="K22" i="66"/>
  <c r="K24" i="66" s="1"/>
  <c r="J22" i="66"/>
  <c r="K30" i="47" s="1"/>
  <c r="I22" i="66"/>
  <c r="I24" i="66" s="1"/>
  <c r="H22" i="66"/>
  <c r="G22" i="66"/>
  <c r="G24" i="66" s="1"/>
  <c r="F22" i="66"/>
  <c r="G30" i="47" s="1"/>
  <c r="D22" i="66"/>
  <c r="C22" i="66"/>
  <c r="C24" i="66" s="1"/>
  <c r="B22" i="66"/>
  <c r="N22" i="66" s="1"/>
  <c r="A13" i="66"/>
  <c r="M10" i="66"/>
  <c r="L10" i="66"/>
  <c r="K10" i="66"/>
  <c r="K13" i="66" s="1"/>
  <c r="L30" i="51" s="1"/>
  <c r="J10" i="66"/>
  <c r="I10" i="66"/>
  <c r="H10" i="66"/>
  <c r="G10" i="66"/>
  <c r="G13" i="66" s="1"/>
  <c r="H30" i="51" s="1"/>
  <c r="F10" i="66"/>
  <c r="E10" i="66"/>
  <c r="E13" i="66" s="1"/>
  <c r="F30" i="51" s="1"/>
  <c r="C10" i="66"/>
  <c r="B10" i="66"/>
  <c r="G75" i="66" l="1"/>
  <c r="G76" i="66" s="1"/>
  <c r="H30" i="36"/>
  <c r="K75" i="66"/>
  <c r="K76" i="66" s="1"/>
  <c r="L30" i="36"/>
  <c r="A163" i="66"/>
  <c r="E75" i="66"/>
  <c r="E76" i="66" s="1"/>
  <c r="F30" i="36"/>
  <c r="M75" i="66"/>
  <c r="M76" i="66" s="1"/>
  <c r="N30" i="36"/>
  <c r="D75" i="66"/>
  <c r="D76" i="66" s="1"/>
  <c r="E30" i="36"/>
  <c r="H75" i="66"/>
  <c r="H76" i="66" s="1"/>
  <c r="I30" i="36"/>
  <c r="L75" i="66"/>
  <c r="L76" i="66" s="1"/>
  <c r="M30" i="36"/>
  <c r="I75" i="66"/>
  <c r="I76" i="66" s="1"/>
  <c r="J30" i="36"/>
  <c r="F75" i="66"/>
  <c r="F76" i="66" s="1"/>
  <c r="G30" i="36"/>
  <c r="J75" i="66"/>
  <c r="J76" i="66" s="1"/>
  <c r="K30" i="36"/>
  <c r="O32" i="45"/>
  <c r="J29" i="48"/>
  <c r="F52" i="66"/>
  <c r="G27" i="41"/>
  <c r="J52" i="66"/>
  <c r="K27" i="41"/>
  <c r="F99" i="66"/>
  <c r="F100" i="66" s="1"/>
  <c r="G24" i="62"/>
  <c r="J99" i="66"/>
  <c r="J100" i="66" s="1"/>
  <c r="K24" i="62"/>
  <c r="H24" i="67"/>
  <c r="L24" i="67"/>
  <c r="C52" i="66"/>
  <c r="D27" i="41"/>
  <c r="G52" i="66"/>
  <c r="H27" i="41"/>
  <c r="K52" i="66"/>
  <c r="L27" i="41"/>
  <c r="C99" i="66"/>
  <c r="C100" i="66" s="1"/>
  <c r="D24" i="62"/>
  <c r="G99" i="66"/>
  <c r="G100" i="66" s="1"/>
  <c r="H24" i="62"/>
  <c r="K99" i="66"/>
  <c r="K100" i="66" s="1"/>
  <c r="L24" i="62"/>
  <c r="E24" i="67"/>
  <c r="I24" i="67"/>
  <c r="M24" i="67"/>
  <c r="D52" i="66"/>
  <c r="E27" i="41"/>
  <c r="H52" i="66"/>
  <c r="I27" i="41"/>
  <c r="L52" i="66"/>
  <c r="M27" i="41"/>
  <c r="D99" i="66"/>
  <c r="D100" i="66" s="1"/>
  <c r="E24" i="62"/>
  <c r="H99" i="66"/>
  <c r="H100" i="66" s="1"/>
  <c r="I24" i="62"/>
  <c r="L99" i="66"/>
  <c r="L100" i="66" s="1"/>
  <c r="M24" i="62"/>
  <c r="F24" i="67"/>
  <c r="J24" i="67"/>
  <c r="N24" i="67"/>
  <c r="E52" i="66"/>
  <c r="F27" i="41"/>
  <c r="I52" i="66"/>
  <c r="J27" i="41"/>
  <c r="M52" i="66"/>
  <c r="N27" i="41"/>
  <c r="E99" i="66"/>
  <c r="E100" i="66" s="1"/>
  <c r="F24" i="62"/>
  <c r="I99" i="66"/>
  <c r="I100" i="66" s="1"/>
  <c r="J24" i="62"/>
  <c r="M99" i="66"/>
  <c r="M100" i="66" s="1"/>
  <c r="N24" i="62"/>
  <c r="G24" i="67"/>
  <c r="K24" i="67"/>
  <c r="F40" i="66"/>
  <c r="F31" i="45"/>
  <c r="J8" i="45"/>
  <c r="J12" i="45"/>
  <c r="J16" i="45"/>
  <c r="J20" i="45"/>
  <c r="J24" i="45"/>
  <c r="J9" i="45"/>
  <c r="J13" i="45"/>
  <c r="J17" i="45"/>
  <c r="J21" i="45"/>
  <c r="J25" i="45"/>
  <c r="J10" i="45"/>
  <c r="J14" i="45"/>
  <c r="J18" i="45"/>
  <c r="J22" i="45"/>
  <c r="J26" i="45"/>
  <c r="J11" i="45"/>
  <c r="J7" i="45"/>
  <c r="J15" i="45"/>
  <c r="J23" i="45"/>
  <c r="J19" i="45"/>
  <c r="M40" i="66"/>
  <c r="D31" i="45"/>
  <c r="D33" i="45" s="1"/>
  <c r="H8" i="45"/>
  <c r="H12" i="45"/>
  <c r="H16" i="45"/>
  <c r="H20" i="45"/>
  <c r="H24" i="45"/>
  <c r="H9" i="45"/>
  <c r="H13" i="45"/>
  <c r="H17" i="45"/>
  <c r="H21" i="45"/>
  <c r="H25" i="45"/>
  <c r="H10" i="45"/>
  <c r="H14" i="45"/>
  <c r="H18" i="45"/>
  <c r="H22" i="45"/>
  <c r="H26" i="45"/>
  <c r="H19" i="45"/>
  <c r="H23" i="45"/>
  <c r="H15" i="45"/>
  <c r="H7" i="45"/>
  <c r="H11" i="45"/>
  <c r="L31" i="45"/>
  <c r="K31" i="45"/>
  <c r="K33" i="45" s="1"/>
  <c r="E31" i="45"/>
  <c r="I31" i="45"/>
  <c r="I33" i="45" s="1"/>
  <c r="M31" i="45"/>
  <c r="F33" i="45"/>
  <c r="E33" i="45"/>
  <c r="N30" i="47"/>
  <c r="F31" i="39"/>
  <c r="L40" i="66"/>
  <c r="L41" i="66" s="1"/>
  <c r="M33" i="45"/>
  <c r="N31" i="39"/>
  <c r="J30" i="47"/>
  <c r="N31" i="45"/>
  <c r="H40" i="66"/>
  <c r="L33" i="45"/>
  <c r="N29" i="48"/>
  <c r="D40" i="66"/>
  <c r="I40" i="66"/>
  <c r="J27" i="44" s="1"/>
  <c r="J31" i="45"/>
  <c r="D24" i="66"/>
  <c r="D26" i="66" s="1"/>
  <c r="E30" i="47"/>
  <c r="E29" i="48"/>
  <c r="H24" i="66"/>
  <c r="H26" i="66" s="1"/>
  <c r="I30" i="47"/>
  <c r="I29" i="48"/>
  <c r="L24" i="66"/>
  <c r="L26" i="66" s="1"/>
  <c r="M30" i="47"/>
  <c r="M29" i="48"/>
  <c r="I63" i="66"/>
  <c r="I64" i="66" s="1"/>
  <c r="J31" i="39"/>
  <c r="L63" i="66"/>
  <c r="L64" i="66" s="1"/>
  <c r="F24" i="66"/>
  <c r="F26" i="66" s="1"/>
  <c r="A34" i="66"/>
  <c r="A45" i="66"/>
  <c r="A69" i="66"/>
  <c r="A118" i="66"/>
  <c r="L29" i="48"/>
  <c r="H29" i="48"/>
  <c r="D29" i="48"/>
  <c r="L30" i="47"/>
  <c r="H30" i="47"/>
  <c r="D30" i="47"/>
  <c r="L31" i="39"/>
  <c r="H31" i="39"/>
  <c r="D31" i="39"/>
  <c r="H31" i="45"/>
  <c r="J40" i="66"/>
  <c r="K27" i="44" s="1"/>
  <c r="F181" i="66"/>
  <c r="J181" i="66"/>
  <c r="J24" i="66"/>
  <c r="F41" i="66"/>
  <c r="C108" i="66"/>
  <c r="A129" i="66"/>
  <c r="C29" i="48"/>
  <c r="K29" i="48"/>
  <c r="G29" i="48"/>
  <c r="C30" i="47"/>
  <c r="K31" i="39"/>
  <c r="G31" i="39"/>
  <c r="G31" i="45"/>
  <c r="E40" i="66"/>
  <c r="F27" i="44" s="1"/>
  <c r="A7" i="66"/>
  <c r="A20" i="66"/>
  <c r="B24" i="66"/>
  <c r="A57" i="66"/>
  <c r="C73" i="66"/>
  <c r="A93" i="66"/>
  <c r="I31" i="39"/>
  <c r="E31" i="39"/>
  <c r="K40" i="66"/>
  <c r="L27" i="44" s="1"/>
  <c r="G40" i="66"/>
  <c r="H27" i="44" s="1"/>
  <c r="C40" i="66"/>
  <c r="D41" i="66"/>
  <c r="M41" i="66"/>
  <c r="H181" i="66"/>
  <c r="H13" i="66"/>
  <c r="I30" i="51" s="1"/>
  <c r="L181" i="66"/>
  <c r="L13" i="66"/>
  <c r="M30" i="51" s="1"/>
  <c r="I181" i="66"/>
  <c r="I13" i="66"/>
  <c r="J30" i="51" s="1"/>
  <c r="K15" i="66"/>
  <c r="K16" i="66" s="1"/>
  <c r="E15" i="66"/>
  <c r="E16" i="66" s="1"/>
  <c r="C26" i="66"/>
  <c r="C25" i="66"/>
  <c r="G26" i="66"/>
  <c r="G25" i="66"/>
  <c r="K26" i="66"/>
  <c r="K25" i="66"/>
  <c r="I26" i="66"/>
  <c r="I25" i="66"/>
  <c r="M26" i="66"/>
  <c r="M25" i="66"/>
  <c r="M181" i="66"/>
  <c r="J13" i="66"/>
  <c r="K30" i="51" s="1"/>
  <c r="A139" i="66"/>
  <c r="C141" i="66"/>
  <c r="C143" i="66" s="1"/>
  <c r="D10" i="66"/>
  <c r="F13" i="66"/>
  <c r="G30" i="51" s="1"/>
  <c r="E22" i="66"/>
  <c r="N36" i="66"/>
  <c r="B38" i="66"/>
  <c r="N59" i="66"/>
  <c r="B61" i="66"/>
  <c r="C31" i="39" s="1"/>
  <c r="E108" i="66"/>
  <c r="E85" i="66"/>
  <c r="F24" i="33" s="1"/>
  <c r="I108" i="66"/>
  <c r="I85" i="66"/>
  <c r="J24" i="33" s="1"/>
  <c r="M108" i="66"/>
  <c r="M85" i="66"/>
  <c r="N24" i="33" s="1"/>
  <c r="G15" i="66"/>
  <c r="G16" i="66" s="1"/>
  <c r="B133" i="66"/>
  <c r="N133" i="66" s="1"/>
  <c r="N131" i="66"/>
  <c r="B181" i="66"/>
  <c r="N10" i="66"/>
  <c r="K181" i="66"/>
  <c r="B13" i="66"/>
  <c r="C30" i="51" s="1"/>
  <c r="M13" i="66"/>
  <c r="N30" i="51" s="1"/>
  <c r="G181" i="66"/>
  <c r="C13" i="66"/>
  <c r="D30" i="51" s="1"/>
  <c r="N47" i="66"/>
  <c r="B49" i="66"/>
  <c r="B73" i="66"/>
  <c r="C30" i="36" s="1"/>
  <c r="N71" i="66"/>
  <c r="C87" i="66"/>
  <c r="C88" i="66" s="1"/>
  <c r="C110" i="66"/>
  <c r="C112" i="66" s="1"/>
  <c r="C113" i="66" s="1"/>
  <c r="G85" i="66"/>
  <c r="G108" i="66"/>
  <c r="K85" i="66"/>
  <c r="L24" i="33" s="1"/>
  <c r="K108" i="66"/>
  <c r="D108" i="66"/>
  <c r="D85" i="66"/>
  <c r="E24" i="33" s="1"/>
  <c r="H108" i="66"/>
  <c r="H85" i="66"/>
  <c r="I24" i="33" s="1"/>
  <c r="L108" i="66"/>
  <c r="L85" i="66"/>
  <c r="M24" i="33" s="1"/>
  <c r="B143" i="66"/>
  <c r="N143" i="66" s="1"/>
  <c r="N141" i="66"/>
  <c r="B85" i="66"/>
  <c r="C24" i="33" s="1"/>
  <c r="B108" i="66"/>
  <c r="N108" i="66" s="1"/>
  <c r="N83" i="66"/>
  <c r="F85" i="66"/>
  <c r="G24" i="33" s="1"/>
  <c r="F108" i="66"/>
  <c r="J85" i="66"/>
  <c r="K24" i="33" s="1"/>
  <c r="J108" i="66"/>
  <c r="B122" i="66"/>
  <c r="N120" i="66"/>
  <c r="C120" i="66"/>
  <c r="C122" i="66" s="1"/>
  <c r="B97" i="66"/>
  <c r="C24" i="62" s="1"/>
  <c r="N95" i="66"/>
  <c r="A81" i="66"/>
  <c r="C75" i="66" l="1"/>
  <c r="C76" i="66" s="1"/>
  <c r="D30" i="36"/>
  <c r="H25" i="66"/>
  <c r="H27" i="66" s="1"/>
  <c r="M27" i="66"/>
  <c r="C24" i="67"/>
  <c r="J30" i="41"/>
  <c r="J30" i="42"/>
  <c r="M30" i="41"/>
  <c r="M30" i="42"/>
  <c r="E30" i="41"/>
  <c r="E30" i="42"/>
  <c r="H30" i="41"/>
  <c r="H30" i="42"/>
  <c r="K30" i="41"/>
  <c r="K30" i="42"/>
  <c r="D24" i="67"/>
  <c r="G183" i="66"/>
  <c r="H24" i="33"/>
  <c r="N30" i="41"/>
  <c r="N30" i="42"/>
  <c r="F30" i="41"/>
  <c r="F30" i="42"/>
  <c r="I30" i="41"/>
  <c r="I30" i="42"/>
  <c r="L30" i="41"/>
  <c r="L30" i="42"/>
  <c r="D30" i="41"/>
  <c r="D30" i="42"/>
  <c r="G30" i="41"/>
  <c r="G30" i="42"/>
  <c r="N122" i="66"/>
  <c r="L11" i="44"/>
  <c r="L15" i="44"/>
  <c r="L19" i="44"/>
  <c r="L23" i="44"/>
  <c r="L7" i="44"/>
  <c r="L8" i="44"/>
  <c r="L12" i="44"/>
  <c r="L16" i="44"/>
  <c r="L20" i="44"/>
  <c r="L24" i="44"/>
  <c r="L14" i="44"/>
  <c r="L22" i="44"/>
  <c r="L10" i="44"/>
  <c r="L18" i="44"/>
  <c r="L26" i="44"/>
  <c r="L13" i="44"/>
  <c r="L21" i="44"/>
  <c r="L9" i="44"/>
  <c r="L17" i="44"/>
  <c r="L25" i="44"/>
  <c r="K8" i="45"/>
  <c r="K12" i="45"/>
  <c r="K16" i="45"/>
  <c r="K20" i="45"/>
  <c r="K24" i="45"/>
  <c r="K9" i="45"/>
  <c r="K13" i="45"/>
  <c r="K17" i="45"/>
  <c r="K21" i="45"/>
  <c r="K25" i="45"/>
  <c r="K10" i="45"/>
  <c r="K14" i="45"/>
  <c r="K18" i="45"/>
  <c r="K22" i="45"/>
  <c r="K26" i="45"/>
  <c r="K15" i="45"/>
  <c r="K19" i="45"/>
  <c r="K11" i="45"/>
  <c r="K7" i="45"/>
  <c r="K23" i="45"/>
  <c r="F11" i="44"/>
  <c r="F15" i="44"/>
  <c r="F19" i="44"/>
  <c r="F8" i="44"/>
  <c r="F13" i="44"/>
  <c r="F18" i="44"/>
  <c r="F23" i="44"/>
  <c r="F7" i="44"/>
  <c r="F10" i="44"/>
  <c r="F16" i="44"/>
  <c r="F21" i="44"/>
  <c r="F25" i="44"/>
  <c r="F17" i="44"/>
  <c r="F26" i="44"/>
  <c r="F9" i="44"/>
  <c r="F20" i="44"/>
  <c r="F12" i="44"/>
  <c r="F22" i="44"/>
  <c r="F14" i="44"/>
  <c r="F24" i="44"/>
  <c r="J11" i="44"/>
  <c r="J15" i="44"/>
  <c r="J13" i="59" s="1"/>
  <c r="J19" i="44"/>
  <c r="J17" i="59" s="1"/>
  <c r="J23" i="44"/>
  <c r="J21" i="59" s="1"/>
  <c r="J7" i="44"/>
  <c r="J5" i="59" s="1"/>
  <c r="J8" i="44"/>
  <c r="J6" i="59" s="1"/>
  <c r="J12" i="44"/>
  <c r="J10" i="59" s="1"/>
  <c r="J16" i="44"/>
  <c r="J14" i="59" s="1"/>
  <c r="J20" i="44"/>
  <c r="J18" i="59" s="1"/>
  <c r="J24" i="44"/>
  <c r="J22" i="59" s="1"/>
  <c r="J14" i="44"/>
  <c r="J12" i="59" s="1"/>
  <c r="J22" i="44"/>
  <c r="J20" i="59" s="1"/>
  <c r="J10" i="44"/>
  <c r="J8" i="59" s="1"/>
  <c r="J18" i="44"/>
  <c r="J16" i="59" s="1"/>
  <c r="J26" i="44"/>
  <c r="J24" i="59" s="1"/>
  <c r="J13" i="44"/>
  <c r="J11" i="59" s="1"/>
  <c r="J21" i="44"/>
  <c r="J19" i="59" s="1"/>
  <c r="J25" i="44"/>
  <c r="J23" i="59" s="1"/>
  <c r="J9" i="44"/>
  <c r="J7" i="59" s="1"/>
  <c r="J17" i="44"/>
  <c r="J15" i="59" s="1"/>
  <c r="M32" i="44"/>
  <c r="M27" i="44"/>
  <c r="C31" i="45"/>
  <c r="C33" i="45" s="1"/>
  <c r="K11" i="44"/>
  <c r="K15" i="44"/>
  <c r="K19" i="44"/>
  <c r="K23" i="44"/>
  <c r="K7" i="44"/>
  <c r="K8" i="44"/>
  <c r="K12" i="44"/>
  <c r="K16" i="44"/>
  <c r="K20" i="44"/>
  <c r="K24" i="44"/>
  <c r="K10" i="44"/>
  <c r="K18" i="44"/>
  <c r="K26" i="44"/>
  <c r="K14" i="44"/>
  <c r="K22" i="44"/>
  <c r="K9" i="44"/>
  <c r="K17" i="44"/>
  <c r="K25" i="44"/>
  <c r="K23" i="59" s="1"/>
  <c r="K13" i="44"/>
  <c r="K21" i="44"/>
  <c r="I8" i="45"/>
  <c r="I12" i="45"/>
  <c r="I16" i="45"/>
  <c r="I20" i="45"/>
  <c r="I24" i="45"/>
  <c r="I9" i="45"/>
  <c r="I13" i="45"/>
  <c r="I17" i="45"/>
  <c r="I21" i="45"/>
  <c r="I25" i="45"/>
  <c r="I10" i="45"/>
  <c r="I14" i="45"/>
  <c r="I18" i="45"/>
  <c r="I22" i="45"/>
  <c r="I26" i="45"/>
  <c r="I23" i="45"/>
  <c r="I11" i="45"/>
  <c r="I7" i="45"/>
  <c r="I19" i="45"/>
  <c r="I15" i="45"/>
  <c r="D8" i="45"/>
  <c r="D12" i="45"/>
  <c r="D16" i="45"/>
  <c r="D20" i="45"/>
  <c r="D24" i="45"/>
  <c r="D9" i="45"/>
  <c r="D13" i="45"/>
  <c r="D17" i="45"/>
  <c r="D21" i="45"/>
  <c r="D25" i="45"/>
  <c r="D10" i="45"/>
  <c r="D14" i="45"/>
  <c r="D18" i="45"/>
  <c r="D22" i="45"/>
  <c r="D26" i="45"/>
  <c r="D19" i="45"/>
  <c r="D23" i="45"/>
  <c r="D15" i="45"/>
  <c r="D11" i="45"/>
  <c r="D7" i="45"/>
  <c r="J9" i="59"/>
  <c r="F8" i="45"/>
  <c r="F12" i="45"/>
  <c r="F16" i="45"/>
  <c r="F20" i="45"/>
  <c r="F24" i="45"/>
  <c r="F9" i="45"/>
  <c r="F7" i="59" s="1"/>
  <c r="F13" i="45"/>
  <c r="F17" i="45"/>
  <c r="F15" i="59" s="1"/>
  <c r="F21" i="45"/>
  <c r="F25" i="45"/>
  <c r="F10" i="45"/>
  <c r="F14" i="45"/>
  <c r="F18" i="45"/>
  <c r="F22" i="45"/>
  <c r="F26" i="45"/>
  <c r="F11" i="45"/>
  <c r="F9" i="59" s="1"/>
  <c r="F7" i="45"/>
  <c r="F15" i="45"/>
  <c r="F23" i="45"/>
  <c r="F19" i="45"/>
  <c r="D32" i="44"/>
  <c r="D27" i="44"/>
  <c r="E32" i="44"/>
  <c r="E27" i="44"/>
  <c r="M8" i="45"/>
  <c r="M12" i="45"/>
  <c r="M16" i="45"/>
  <c r="M20" i="45"/>
  <c r="M24" i="45"/>
  <c r="M9" i="45"/>
  <c r="M13" i="45"/>
  <c r="M17" i="45"/>
  <c r="M21" i="45"/>
  <c r="M25" i="45"/>
  <c r="M10" i="45"/>
  <c r="M14" i="45"/>
  <c r="M18" i="45"/>
  <c r="M22" i="45"/>
  <c r="M26" i="45"/>
  <c r="M23" i="45"/>
  <c r="M11" i="45"/>
  <c r="M7" i="45"/>
  <c r="M19" i="45"/>
  <c r="M15" i="45"/>
  <c r="E8" i="45"/>
  <c r="E12" i="45"/>
  <c r="E16" i="45"/>
  <c r="E20" i="45"/>
  <c r="E24" i="45"/>
  <c r="E9" i="45"/>
  <c r="E13" i="45"/>
  <c r="E17" i="45"/>
  <c r="E21" i="45"/>
  <c r="E25" i="45"/>
  <c r="E10" i="45"/>
  <c r="E14" i="45"/>
  <c r="E18" i="45"/>
  <c r="E22" i="45"/>
  <c r="E26" i="45"/>
  <c r="E23" i="45"/>
  <c r="E11" i="45"/>
  <c r="E7" i="45"/>
  <c r="E19" i="45"/>
  <c r="E15" i="45"/>
  <c r="L8" i="45"/>
  <c r="L12" i="45"/>
  <c r="L16" i="45"/>
  <c r="L20" i="45"/>
  <c r="L24" i="45"/>
  <c r="L9" i="45"/>
  <c r="L13" i="45"/>
  <c r="L17" i="45"/>
  <c r="L21" i="45"/>
  <c r="L25" i="45"/>
  <c r="L10" i="45"/>
  <c r="L14" i="45"/>
  <c r="L18" i="45"/>
  <c r="L16" i="59" s="1"/>
  <c r="L22" i="45"/>
  <c r="L26" i="45"/>
  <c r="L19" i="45"/>
  <c r="L23" i="45"/>
  <c r="L15" i="45"/>
  <c r="L11" i="45"/>
  <c r="L7" i="45"/>
  <c r="N8" i="45"/>
  <c r="N12" i="45"/>
  <c r="N16" i="45"/>
  <c r="N20" i="45"/>
  <c r="N24" i="45"/>
  <c r="N9" i="45"/>
  <c r="N13" i="45"/>
  <c r="N17" i="45"/>
  <c r="N21" i="45"/>
  <c r="N25" i="45"/>
  <c r="N10" i="45"/>
  <c r="N14" i="45"/>
  <c r="N18" i="45"/>
  <c r="N22" i="45"/>
  <c r="N26" i="45"/>
  <c r="N11" i="45"/>
  <c r="N7" i="45"/>
  <c r="N15" i="45"/>
  <c r="N23" i="45"/>
  <c r="N19" i="45"/>
  <c r="G8" i="45"/>
  <c r="G12" i="45"/>
  <c r="G16" i="45"/>
  <c r="G20" i="45"/>
  <c r="G24" i="45"/>
  <c r="G9" i="45"/>
  <c r="G13" i="45"/>
  <c r="G17" i="45"/>
  <c r="G21" i="45"/>
  <c r="G25" i="45"/>
  <c r="G10" i="45"/>
  <c r="G14" i="45"/>
  <c r="G18" i="45"/>
  <c r="G22" i="45"/>
  <c r="G26" i="45"/>
  <c r="G15" i="45"/>
  <c r="G19" i="45"/>
  <c r="G11" i="45"/>
  <c r="G7" i="45"/>
  <c r="G23" i="45"/>
  <c r="H11" i="44"/>
  <c r="H9" i="59" s="1"/>
  <c r="H15" i="44"/>
  <c r="H13" i="59" s="1"/>
  <c r="H19" i="44"/>
  <c r="H17" i="59" s="1"/>
  <c r="H23" i="44"/>
  <c r="H21" i="59" s="1"/>
  <c r="H8" i="44"/>
  <c r="H6" i="59" s="1"/>
  <c r="H12" i="44"/>
  <c r="H10" i="59" s="1"/>
  <c r="H16" i="44"/>
  <c r="H14" i="59" s="1"/>
  <c r="H20" i="44"/>
  <c r="H18" i="59" s="1"/>
  <c r="H24" i="44"/>
  <c r="H22" i="59" s="1"/>
  <c r="H14" i="44"/>
  <c r="H12" i="59" s="1"/>
  <c r="H22" i="44"/>
  <c r="H20" i="59" s="1"/>
  <c r="H7" i="44"/>
  <c r="H5" i="59" s="1"/>
  <c r="H10" i="44"/>
  <c r="H8" i="59" s="1"/>
  <c r="H18" i="44"/>
  <c r="H16" i="59" s="1"/>
  <c r="H26" i="44"/>
  <c r="H24" i="59" s="1"/>
  <c r="H13" i="44"/>
  <c r="H11" i="59" s="1"/>
  <c r="H17" i="44"/>
  <c r="H15" i="59" s="1"/>
  <c r="H21" i="44"/>
  <c r="H19" i="59" s="1"/>
  <c r="H9" i="44"/>
  <c r="H7" i="59" s="1"/>
  <c r="H25" i="44"/>
  <c r="H23" i="59" s="1"/>
  <c r="C41" i="66"/>
  <c r="I32" i="44"/>
  <c r="I27" i="44"/>
  <c r="N32" i="44"/>
  <c r="N27" i="44"/>
  <c r="G32" i="44"/>
  <c r="G27" i="44"/>
  <c r="G41" i="66"/>
  <c r="H32" i="44"/>
  <c r="H41" i="66"/>
  <c r="K27" i="66"/>
  <c r="C27" i="66"/>
  <c r="D25" i="66"/>
  <c r="D27" i="66" s="1"/>
  <c r="G33" i="45"/>
  <c r="J41" i="66"/>
  <c r="K32" i="44"/>
  <c r="J33" i="45"/>
  <c r="N33" i="45"/>
  <c r="K41" i="66"/>
  <c r="L32" i="44"/>
  <c r="F25" i="66"/>
  <c r="F27" i="66" s="1"/>
  <c r="E41" i="66"/>
  <c r="F32" i="44"/>
  <c r="H33" i="45"/>
  <c r="I41" i="66"/>
  <c r="J32" i="44"/>
  <c r="E24" i="66"/>
  <c r="E26" i="66" s="1"/>
  <c r="F30" i="47"/>
  <c r="O30" i="47" s="1"/>
  <c r="F29" i="48"/>
  <c r="O29" i="48" s="1"/>
  <c r="E181" i="66"/>
  <c r="L25" i="66"/>
  <c r="L27" i="66" s="1"/>
  <c r="B26" i="66"/>
  <c r="B25" i="66"/>
  <c r="J26" i="66"/>
  <c r="J25" i="66"/>
  <c r="O31" i="39"/>
  <c r="J110" i="66"/>
  <c r="J112" i="66" s="1"/>
  <c r="J113" i="66" s="1"/>
  <c r="J87" i="66"/>
  <c r="J88" i="66" s="1"/>
  <c r="E87" i="66"/>
  <c r="E88" i="66" s="1"/>
  <c r="E110" i="66"/>
  <c r="E112" i="66" s="1"/>
  <c r="E113" i="66" s="1"/>
  <c r="I183" i="66"/>
  <c r="I15" i="66"/>
  <c r="I16" i="66" s="1"/>
  <c r="F110" i="66"/>
  <c r="F112" i="66" s="1"/>
  <c r="F113" i="66" s="1"/>
  <c r="F87" i="66"/>
  <c r="F88" i="66" s="1"/>
  <c r="H110" i="66"/>
  <c r="H112" i="66" s="1"/>
  <c r="H113" i="66" s="1"/>
  <c r="H87" i="66"/>
  <c r="H88" i="66" s="1"/>
  <c r="N49" i="66"/>
  <c r="B51" i="66"/>
  <c r="M183" i="66"/>
  <c r="M15" i="66"/>
  <c r="M16" i="66" s="1"/>
  <c r="I87" i="66"/>
  <c r="I88" i="66" s="1"/>
  <c r="I110" i="66"/>
  <c r="I112" i="66" s="1"/>
  <c r="I113" i="66" s="1"/>
  <c r="N61" i="66"/>
  <c r="B63" i="66"/>
  <c r="B64" i="66" s="1"/>
  <c r="C181" i="66"/>
  <c r="I27" i="66"/>
  <c r="G27" i="66"/>
  <c r="L183" i="66"/>
  <c r="L15" i="66"/>
  <c r="L16" i="66" s="1"/>
  <c r="D181" i="66"/>
  <c r="D13" i="66"/>
  <c r="E30" i="51" s="1"/>
  <c r="N97" i="66"/>
  <c r="B99" i="66"/>
  <c r="B100" i="66" s="1"/>
  <c r="K87" i="66"/>
  <c r="K88" i="66" s="1"/>
  <c r="K110" i="66"/>
  <c r="K112" i="66" s="1"/>
  <c r="K113" i="66" s="1"/>
  <c r="B183" i="66"/>
  <c r="N13" i="66"/>
  <c r="B15" i="66"/>
  <c r="B16" i="66" s="1"/>
  <c r="F183" i="66"/>
  <c r="F15" i="66"/>
  <c r="F16" i="66" s="1"/>
  <c r="E183" i="66"/>
  <c r="K183" i="66"/>
  <c r="L110" i="66"/>
  <c r="L112" i="66" s="1"/>
  <c r="L113" i="66" s="1"/>
  <c r="L87" i="66"/>
  <c r="L88" i="66" s="1"/>
  <c r="D110" i="66"/>
  <c r="D112" i="66" s="1"/>
  <c r="D113" i="66" s="1"/>
  <c r="D87" i="66"/>
  <c r="D88" i="66" s="1"/>
  <c r="C183" i="66"/>
  <c r="C15" i="66"/>
  <c r="C16" i="66" s="1"/>
  <c r="M87" i="66"/>
  <c r="M88" i="66" s="1"/>
  <c r="M110" i="66"/>
  <c r="M112" i="66" s="1"/>
  <c r="M113" i="66" s="1"/>
  <c r="N38" i="66"/>
  <c r="B40" i="66"/>
  <c r="C27" i="44" s="1"/>
  <c r="J183" i="66"/>
  <c r="J15" i="66"/>
  <c r="J16" i="66" s="1"/>
  <c r="H183" i="66"/>
  <c r="H15" i="66"/>
  <c r="H16" i="66" s="1"/>
  <c r="B110" i="66"/>
  <c r="N85" i="66"/>
  <c r="B87" i="66"/>
  <c r="B88" i="66" s="1"/>
  <c r="G87" i="66"/>
  <c r="G88" i="66" s="1"/>
  <c r="G110" i="66"/>
  <c r="G112" i="66" s="1"/>
  <c r="G113" i="66" s="1"/>
  <c r="N73" i="66"/>
  <c r="B75" i="66"/>
  <c r="B76" i="66" s="1"/>
  <c r="N177" i="66"/>
  <c r="L24" i="59" l="1"/>
  <c r="K14" i="59"/>
  <c r="K5" i="59"/>
  <c r="K15" i="59"/>
  <c r="K18" i="59"/>
  <c r="L23" i="59"/>
  <c r="F13" i="59"/>
  <c r="K10" i="59"/>
  <c r="K9" i="59"/>
  <c r="K7" i="59"/>
  <c r="K22" i="59"/>
  <c r="L8" i="59"/>
  <c r="F11" i="59"/>
  <c r="K19" i="59"/>
  <c r="K16" i="59"/>
  <c r="F12" i="59"/>
  <c r="F19" i="59"/>
  <c r="F21" i="59"/>
  <c r="K8" i="59"/>
  <c r="L15" i="59"/>
  <c r="L17" i="59"/>
  <c r="F24" i="59"/>
  <c r="F14" i="59"/>
  <c r="B52" i="66"/>
  <c r="C27" i="41"/>
  <c r="O24" i="68"/>
  <c r="F18" i="59"/>
  <c r="K12" i="59"/>
  <c r="L14" i="59"/>
  <c r="L21" i="59"/>
  <c r="O6" i="67"/>
  <c r="AK11" i="3" s="1"/>
  <c r="O10" i="67"/>
  <c r="AK15" i="3" s="1"/>
  <c r="O18" i="67"/>
  <c r="AK23" i="3" s="1"/>
  <c r="O22" i="67"/>
  <c r="AK27" i="3" s="1"/>
  <c r="O7" i="67"/>
  <c r="AK12" i="3" s="1"/>
  <c r="O8" i="67"/>
  <c r="AK13" i="3" s="1"/>
  <c r="O24" i="67"/>
  <c r="I11" i="44"/>
  <c r="I9" i="59" s="1"/>
  <c r="I15" i="44"/>
  <c r="I13" i="59" s="1"/>
  <c r="I19" i="44"/>
  <c r="I17" i="59" s="1"/>
  <c r="I23" i="44"/>
  <c r="I21" i="59" s="1"/>
  <c r="I7" i="44"/>
  <c r="I5" i="59" s="1"/>
  <c r="I8" i="44"/>
  <c r="I6" i="59" s="1"/>
  <c r="I12" i="44"/>
  <c r="I10" i="59" s="1"/>
  <c r="I16" i="44"/>
  <c r="I14" i="59" s="1"/>
  <c r="I20" i="44"/>
  <c r="I18" i="59" s="1"/>
  <c r="I24" i="44"/>
  <c r="I22" i="59" s="1"/>
  <c r="I10" i="44"/>
  <c r="I8" i="59" s="1"/>
  <c r="I18" i="44"/>
  <c r="I16" i="59" s="1"/>
  <c r="I26" i="44"/>
  <c r="I24" i="59" s="1"/>
  <c r="I14" i="44"/>
  <c r="I12" i="59" s="1"/>
  <c r="I22" i="44"/>
  <c r="I20" i="59" s="1"/>
  <c r="I17" i="44"/>
  <c r="I15" i="59" s="1"/>
  <c r="I21" i="44"/>
  <c r="I19" i="59" s="1"/>
  <c r="I9" i="44"/>
  <c r="I7" i="59" s="1"/>
  <c r="I25" i="44"/>
  <c r="I23" i="59" s="1"/>
  <c r="I13" i="44"/>
  <c r="I11" i="59" s="1"/>
  <c r="K21" i="59"/>
  <c r="C9" i="45"/>
  <c r="C13" i="45"/>
  <c r="C17" i="45"/>
  <c r="C21" i="45"/>
  <c r="C25" i="45"/>
  <c r="C10" i="45"/>
  <c r="C14" i="45"/>
  <c r="C18" i="45"/>
  <c r="C22" i="45"/>
  <c r="C26" i="45"/>
  <c r="C11" i="45"/>
  <c r="C15" i="45"/>
  <c r="C19" i="45"/>
  <c r="C23" i="45"/>
  <c r="C7" i="45"/>
  <c r="C20" i="45"/>
  <c r="C8" i="45"/>
  <c r="C24" i="45"/>
  <c r="C16" i="45"/>
  <c r="C12" i="45"/>
  <c r="M11" i="44"/>
  <c r="M9" i="59" s="1"/>
  <c r="M15" i="44"/>
  <c r="M13" i="59" s="1"/>
  <c r="M19" i="44"/>
  <c r="M17" i="59" s="1"/>
  <c r="M23" i="44"/>
  <c r="M21" i="59" s="1"/>
  <c r="M7" i="44"/>
  <c r="M5" i="59" s="1"/>
  <c r="M8" i="44"/>
  <c r="M6" i="59" s="1"/>
  <c r="M12" i="44"/>
  <c r="M10" i="59" s="1"/>
  <c r="M16" i="44"/>
  <c r="M14" i="59" s="1"/>
  <c r="M20" i="44"/>
  <c r="M18" i="59" s="1"/>
  <c r="M24" i="44"/>
  <c r="M22" i="59" s="1"/>
  <c r="M10" i="44"/>
  <c r="M8" i="59" s="1"/>
  <c r="M18" i="44"/>
  <c r="M16" i="59" s="1"/>
  <c r="M26" i="44"/>
  <c r="M24" i="59" s="1"/>
  <c r="M14" i="44"/>
  <c r="M12" i="59" s="1"/>
  <c r="M22" i="44"/>
  <c r="M20" i="59" s="1"/>
  <c r="M9" i="44"/>
  <c r="M7" i="59" s="1"/>
  <c r="M17" i="44"/>
  <c r="M15" i="59" s="1"/>
  <c r="M25" i="44"/>
  <c r="M23" i="59" s="1"/>
  <c r="M21" i="44"/>
  <c r="M19" i="59" s="1"/>
  <c r="M13" i="44"/>
  <c r="M11" i="59" s="1"/>
  <c r="F20" i="59"/>
  <c r="F16" i="59"/>
  <c r="K24" i="59"/>
  <c r="L10" i="59"/>
  <c r="C9" i="44"/>
  <c r="C13" i="44"/>
  <c r="C11" i="59" s="1"/>
  <c r="C17" i="44"/>
  <c r="C15" i="59" s="1"/>
  <c r="C21" i="44"/>
  <c r="C25" i="44"/>
  <c r="C10" i="44"/>
  <c r="C15" i="44"/>
  <c r="C20" i="44"/>
  <c r="C26" i="44"/>
  <c r="C24" i="44"/>
  <c r="C22" i="59" s="1"/>
  <c r="C11" i="44"/>
  <c r="C9" i="59" s="1"/>
  <c r="C16" i="44"/>
  <c r="C22" i="44"/>
  <c r="C7" i="44"/>
  <c r="C14" i="44"/>
  <c r="C12" i="44"/>
  <c r="C18" i="44"/>
  <c r="C23" i="44"/>
  <c r="C21" i="59" s="1"/>
  <c r="C8" i="44"/>
  <c r="C19" i="44"/>
  <c r="N11" i="44"/>
  <c r="N9" i="59" s="1"/>
  <c r="N15" i="44"/>
  <c r="N13" i="59" s="1"/>
  <c r="N19" i="44"/>
  <c r="N17" i="59" s="1"/>
  <c r="N23" i="44"/>
  <c r="N21" i="59" s="1"/>
  <c r="N7" i="44"/>
  <c r="N5" i="59" s="1"/>
  <c r="N8" i="44"/>
  <c r="N6" i="59" s="1"/>
  <c r="N12" i="44"/>
  <c r="N10" i="59" s="1"/>
  <c r="N16" i="44"/>
  <c r="N14" i="59" s="1"/>
  <c r="N20" i="44"/>
  <c r="N18" i="59" s="1"/>
  <c r="N24" i="44"/>
  <c r="N22" i="59" s="1"/>
  <c r="N14" i="44"/>
  <c r="N12" i="59" s="1"/>
  <c r="N22" i="44"/>
  <c r="N20" i="59" s="1"/>
  <c r="N10" i="44"/>
  <c r="N8" i="59" s="1"/>
  <c r="N18" i="44"/>
  <c r="N16" i="59" s="1"/>
  <c r="N26" i="44"/>
  <c r="N24" i="59" s="1"/>
  <c r="N13" i="44"/>
  <c r="N11" i="59" s="1"/>
  <c r="N21" i="44"/>
  <c r="N19" i="59" s="1"/>
  <c r="N9" i="44"/>
  <c r="N7" i="59" s="1"/>
  <c r="N17" i="44"/>
  <c r="N15" i="59" s="1"/>
  <c r="N25" i="44"/>
  <c r="N23" i="59" s="1"/>
  <c r="L12" i="59"/>
  <c r="E11" i="44"/>
  <c r="E9" i="59" s="1"/>
  <c r="E15" i="44"/>
  <c r="E13" i="59" s="1"/>
  <c r="E19" i="44"/>
  <c r="E17" i="59" s="1"/>
  <c r="E23" i="44"/>
  <c r="E21" i="59" s="1"/>
  <c r="E9" i="44"/>
  <c r="E7" i="59" s="1"/>
  <c r="E13" i="44"/>
  <c r="E11" i="59" s="1"/>
  <c r="E17" i="44"/>
  <c r="E15" i="59" s="1"/>
  <c r="E21" i="44"/>
  <c r="E19" i="59" s="1"/>
  <c r="E25" i="44"/>
  <c r="E23" i="59" s="1"/>
  <c r="E14" i="44"/>
  <c r="E12" i="59" s="1"/>
  <c r="E22" i="44"/>
  <c r="E20" i="59" s="1"/>
  <c r="E8" i="44"/>
  <c r="E6" i="59" s="1"/>
  <c r="E16" i="44"/>
  <c r="E14" i="59" s="1"/>
  <c r="E24" i="44"/>
  <c r="E22" i="59" s="1"/>
  <c r="E10" i="44"/>
  <c r="E8" i="59" s="1"/>
  <c r="E18" i="44"/>
  <c r="E16" i="59" s="1"/>
  <c r="E26" i="44"/>
  <c r="E24" i="59" s="1"/>
  <c r="E12" i="44"/>
  <c r="E10" i="59" s="1"/>
  <c r="E20" i="44"/>
  <c r="E18" i="59" s="1"/>
  <c r="E7" i="44"/>
  <c r="E5" i="59" s="1"/>
  <c r="F17" i="59"/>
  <c r="K11" i="59"/>
  <c r="K17" i="59"/>
  <c r="F10" i="59"/>
  <c r="F8" i="59"/>
  <c r="K20" i="59"/>
  <c r="L7" i="59"/>
  <c r="L22" i="59"/>
  <c r="L6" i="59"/>
  <c r="L13" i="59"/>
  <c r="D9" i="44"/>
  <c r="D7" i="59" s="1"/>
  <c r="D13" i="44"/>
  <c r="D11" i="59" s="1"/>
  <c r="D17" i="44"/>
  <c r="D15" i="59" s="1"/>
  <c r="D21" i="44"/>
  <c r="D19" i="59" s="1"/>
  <c r="D25" i="44"/>
  <c r="D23" i="59" s="1"/>
  <c r="D8" i="44"/>
  <c r="D6" i="59" s="1"/>
  <c r="D14" i="44"/>
  <c r="D12" i="59" s="1"/>
  <c r="D19" i="44"/>
  <c r="D17" i="59" s="1"/>
  <c r="D24" i="44"/>
  <c r="D22" i="59" s="1"/>
  <c r="D23" i="44"/>
  <c r="D21" i="59" s="1"/>
  <c r="D10" i="44"/>
  <c r="D8" i="59" s="1"/>
  <c r="D15" i="44"/>
  <c r="D13" i="59" s="1"/>
  <c r="D20" i="44"/>
  <c r="D18" i="59" s="1"/>
  <c r="D26" i="44"/>
  <c r="D24" i="59" s="1"/>
  <c r="D18" i="44"/>
  <c r="D16" i="59" s="1"/>
  <c r="D11" i="44"/>
  <c r="D9" i="59" s="1"/>
  <c r="D16" i="44"/>
  <c r="D14" i="59" s="1"/>
  <c r="D22" i="44"/>
  <c r="D20" i="59" s="1"/>
  <c r="D7" i="44"/>
  <c r="D12" i="44"/>
  <c r="D10" i="59" s="1"/>
  <c r="L20" i="59"/>
  <c r="G8" i="44"/>
  <c r="G6" i="59" s="1"/>
  <c r="G12" i="44"/>
  <c r="G10" i="59" s="1"/>
  <c r="G16" i="44"/>
  <c r="G14" i="59" s="1"/>
  <c r="G20" i="44"/>
  <c r="G18" i="59" s="1"/>
  <c r="G24" i="44"/>
  <c r="G22" i="59" s="1"/>
  <c r="G7" i="44"/>
  <c r="G5" i="59" s="1"/>
  <c r="G9" i="44"/>
  <c r="G7" i="59" s="1"/>
  <c r="G13" i="44"/>
  <c r="G11" i="59" s="1"/>
  <c r="G17" i="44"/>
  <c r="G15" i="59" s="1"/>
  <c r="G21" i="44"/>
  <c r="G19" i="59" s="1"/>
  <c r="G25" i="44"/>
  <c r="G23" i="59" s="1"/>
  <c r="G11" i="44"/>
  <c r="G9" i="59" s="1"/>
  <c r="G19" i="44"/>
  <c r="G17" i="59" s="1"/>
  <c r="G15" i="44"/>
  <c r="G13" i="59" s="1"/>
  <c r="G23" i="44"/>
  <c r="G21" i="59" s="1"/>
  <c r="G10" i="44"/>
  <c r="G8" i="59" s="1"/>
  <c r="G26" i="44"/>
  <c r="G24" i="59" s="1"/>
  <c r="G14" i="44"/>
  <c r="G12" i="59" s="1"/>
  <c r="G18" i="44"/>
  <c r="G16" i="59" s="1"/>
  <c r="G22" i="44"/>
  <c r="G20" i="59" s="1"/>
  <c r="L11" i="59"/>
  <c r="K13" i="59"/>
  <c r="F22" i="59"/>
  <c r="F23" i="59"/>
  <c r="F5" i="59"/>
  <c r="F6" i="59"/>
  <c r="K6" i="59"/>
  <c r="L19" i="59"/>
  <c r="L18" i="59"/>
  <c r="L5" i="59"/>
  <c r="L9" i="59"/>
  <c r="B41" i="66"/>
  <c r="C32" i="44"/>
  <c r="O32" i="44" s="1"/>
  <c r="J27" i="66"/>
  <c r="E25" i="66"/>
  <c r="E27" i="66" s="1"/>
  <c r="B27" i="66"/>
  <c r="A181" i="66"/>
  <c r="N110" i="66"/>
  <c r="B112" i="66"/>
  <c r="B113" i="66" s="1"/>
  <c r="N179" i="66"/>
  <c r="D15" i="66"/>
  <c r="D16" i="66" s="1"/>
  <c r="D183" i="66"/>
  <c r="A183" i="66" s="1"/>
  <c r="C5" i="59" l="1"/>
  <c r="O12" i="67"/>
  <c r="AK17" i="3" s="1"/>
  <c r="O16" i="67"/>
  <c r="AK21" i="3" s="1"/>
  <c r="O11" i="67"/>
  <c r="AK16" i="3" s="1"/>
  <c r="O14" i="67"/>
  <c r="AK19" i="3" s="1"/>
  <c r="C14" i="59"/>
  <c r="O4" i="67"/>
  <c r="O21" i="67"/>
  <c r="AK26" i="3" s="1"/>
  <c r="O17" i="67"/>
  <c r="AK22" i="3" s="1"/>
  <c r="C6" i="59"/>
  <c r="O19" i="67"/>
  <c r="AK24" i="3" s="1"/>
  <c r="O13" i="67"/>
  <c r="AK18" i="3" s="1"/>
  <c r="C17" i="59"/>
  <c r="C16" i="59"/>
  <c r="O5" i="67"/>
  <c r="AK10" i="3" s="1"/>
  <c r="O9" i="67"/>
  <c r="AK14" i="3" s="1"/>
  <c r="O23" i="67"/>
  <c r="AK28" i="3" s="1"/>
  <c r="C23" i="59"/>
  <c r="C7" i="59"/>
  <c r="O20" i="67"/>
  <c r="AK25" i="3" s="1"/>
  <c r="C10" i="59"/>
  <c r="C18" i="59"/>
  <c r="C19" i="59"/>
  <c r="O15" i="67"/>
  <c r="AK20" i="3" s="1"/>
  <c r="C30" i="41"/>
  <c r="C30" i="42"/>
  <c r="C13" i="59"/>
  <c r="C12" i="59"/>
  <c r="C24" i="59"/>
  <c r="C8" i="59"/>
  <c r="C20" i="59"/>
  <c r="I73" i="15"/>
  <c r="K71" i="15"/>
  <c r="AK9" i="3" l="1"/>
  <c r="AK29" i="3" s="1"/>
  <c r="R29" i="65"/>
  <c r="C29" i="65"/>
  <c r="D12" i="65" s="1"/>
  <c r="E12" i="65" s="1"/>
  <c r="D25" i="65" l="1"/>
  <c r="E25" i="65" s="1"/>
  <c r="D26" i="65"/>
  <c r="E26" i="65" s="1"/>
  <c r="D14" i="65"/>
  <c r="E14" i="65" s="1"/>
  <c r="D18" i="65"/>
  <c r="E18" i="65" s="1"/>
  <c r="F18" i="65" s="1"/>
  <c r="D10" i="65"/>
  <c r="E10" i="65" s="1"/>
  <c r="I78" i="15"/>
  <c r="K78" i="15" s="1"/>
  <c r="F12" i="65" s="1"/>
  <c r="D24" i="65"/>
  <c r="E24" i="65" s="1"/>
  <c r="F24" i="65" s="1"/>
  <c r="D19" i="65"/>
  <c r="E19" i="65" s="1"/>
  <c r="D15" i="65"/>
  <c r="E15" i="65" s="1"/>
  <c r="F15" i="65" s="1"/>
  <c r="D11" i="65"/>
  <c r="E11" i="65" s="1"/>
  <c r="D23" i="65"/>
  <c r="E23" i="65" s="1"/>
  <c r="F23" i="65" s="1"/>
  <c r="D27" i="65"/>
  <c r="E27" i="65" s="1"/>
  <c r="D17" i="65"/>
  <c r="E17" i="65" s="1"/>
  <c r="F17" i="65" s="1"/>
  <c r="D13" i="65"/>
  <c r="E13" i="65" s="1"/>
  <c r="D9" i="65"/>
  <c r="D22" i="65"/>
  <c r="E22" i="65" s="1"/>
  <c r="F22" i="65" s="1"/>
  <c r="D28" i="65"/>
  <c r="E28" i="65" s="1"/>
  <c r="F28" i="65" s="1"/>
  <c r="D21" i="65"/>
  <c r="E21" i="65" s="1"/>
  <c r="D16" i="65"/>
  <c r="E16" i="65" s="1"/>
  <c r="F16" i="65" s="1"/>
  <c r="D20" i="65"/>
  <c r="E20" i="65" s="1"/>
  <c r="F20" i="65" s="1"/>
  <c r="F13" i="65" l="1"/>
  <c r="F11" i="65"/>
  <c r="F14" i="65"/>
  <c r="F21" i="65"/>
  <c r="F27" i="65"/>
  <c r="F19" i="65"/>
  <c r="F10" i="65"/>
  <c r="F25" i="65"/>
  <c r="F26" i="65"/>
  <c r="D29" i="65"/>
  <c r="E9" i="65"/>
  <c r="F9" i="65" s="1"/>
  <c r="E29" i="65" l="1"/>
  <c r="F29" i="65" l="1"/>
  <c r="I37" i="18" l="1"/>
  <c r="J37" i="18"/>
  <c r="I38" i="18"/>
  <c r="J38" i="18"/>
  <c r="I39" i="18"/>
  <c r="J39" i="18"/>
  <c r="I40" i="18"/>
  <c r="J40" i="18"/>
  <c r="I41" i="18"/>
  <c r="J41" i="18"/>
  <c r="I42" i="18"/>
  <c r="J42" i="18"/>
  <c r="I43" i="18"/>
  <c r="J43" i="18"/>
  <c r="I44" i="18"/>
  <c r="J44" i="18"/>
  <c r="I45" i="18"/>
  <c r="J45" i="18"/>
  <c r="I46" i="18"/>
  <c r="J46" i="18"/>
  <c r="I47" i="18"/>
  <c r="J47" i="18"/>
  <c r="I48" i="18"/>
  <c r="J48" i="18"/>
  <c r="I49" i="18"/>
  <c r="J49" i="18"/>
  <c r="I50" i="18"/>
  <c r="J50" i="18"/>
  <c r="I51" i="18"/>
  <c r="J51" i="18"/>
  <c r="I52" i="18"/>
  <c r="J52" i="18"/>
  <c r="I53" i="18"/>
  <c r="J53" i="18"/>
  <c r="I54" i="18"/>
  <c r="J54" i="18"/>
  <c r="I55" i="18"/>
  <c r="J55" i="18"/>
  <c r="J36" i="18"/>
  <c r="I36" i="18"/>
  <c r="F37" i="18"/>
  <c r="G37" i="18"/>
  <c r="F38" i="18"/>
  <c r="G38" i="18"/>
  <c r="F39" i="18"/>
  <c r="G39" i="18"/>
  <c r="F40" i="18"/>
  <c r="G40" i="18"/>
  <c r="F41" i="18"/>
  <c r="G41" i="18"/>
  <c r="F42" i="18"/>
  <c r="G42" i="18"/>
  <c r="F43" i="18"/>
  <c r="G43" i="18"/>
  <c r="F44" i="18"/>
  <c r="G44" i="18"/>
  <c r="F45" i="18"/>
  <c r="G45" i="18"/>
  <c r="F46" i="18"/>
  <c r="G46" i="18"/>
  <c r="F47" i="18"/>
  <c r="G47" i="18"/>
  <c r="F48" i="18"/>
  <c r="G48" i="18"/>
  <c r="F49" i="18"/>
  <c r="G49" i="18"/>
  <c r="F50" i="18"/>
  <c r="G50" i="18"/>
  <c r="F51" i="18"/>
  <c r="G51" i="18"/>
  <c r="F52" i="18"/>
  <c r="G52" i="18"/>
  <c r="F53" i="18"/>
  <c r="G53" i="18"/>
  <c r="F54" i="18"/>
  <c r="G54" i="18"/>
  <c r="F55" i="18"/>
  <c r="G55" i="18"/>
  <c r="G36" i="18"/>
  <c r="F36" i="18"/>
  <c r="O32" i="39" l="1"/>
  <c r="O31" i="41"/>
  <c r="O31" i="45" l="1"/>
  <c r="O36" i="21"/>
  <c r="B8" i="47" l="1"/>
  <c r="C8" i="47" s="1"/>
  <c r="B9" i="47"/>
  <c r="C9" i="47" s="1"/>
  <c r="B10" i="47"/>
  <c r="C10" i="47" s="1"/>
  <c r="B11" i="47"/>
  <c r="C11" i="47" s="1"/>
  <c r="B14" i="47"/>
  <c r="B15" i="47"/>
  <c r="B16" i="47"/>
  <c r="B18" i="47"/>
  <c r="B19" i="47"/>
  <c r="B21" i="47"/>
  <c r="B23" i="47"/>
  <c r="B24" i="47"/>
  <c r="B26" i="47"/>
  <c r="C26" i="47" s="1"/>
  <c r="B7" i="47"/>
  <c r="N32" i="41"/>
  <c r="M32" i="41"/>
  <c r="L32" i="41"/>
  <c r="K32" i="41"/>
  <c r="J32" i="41"/>
  <c r="I32" i="41"/>
  <c r="H32" i="41"/>
  <c r="G32" i="41"/>
  <c r="F32" i="41"/>
  <c r="E32" i="41"/>
  <c r="J32" i="47" l="1"/>
  <c r="D33" i="39"/>
  <c r="E32" i="47"/>
  <c r="I32" i="47"/>
  <c r="M32" i="47"/>
  <c r="G33" i="39"/>
  <c r="K33" i="39"/>
  <c r="F32" i="47"/>
  <c r="L33" i="39"/>
  <c r="G32" i="47"/>
  <c r="K32" i="47"/>
  <c r="E33" i="39"/>
  <c r="I33" i="39"/>
  <c r="M33" i="39"/>
  <c r="N32" i="47"/>
  <c r="H33" i="39"/>
  <c r="D32" i="47"/>
  <c r="H32" i="47"/>
  <c r="L32" i="47"/>
  <c r="F33" i="39"/>
  <c r="J33" i="39"/>
  <c r="N33" i="39"/>
  <c r="D32" i="41"/>
  <c r="K33" i="47" l="1"/>
  <c r="K34" i="47"/>
  <c r="E34" i="47"/>
  <c r="E33" i="47"/>
  <c r="D33" i="47"/>
  <c r="D34" i="47"/>
  <c r="N33" i="47"/>
  <c r="N34" i="47"/>
  <c r="I33" i="47"/>
  <c r="I34" i="47"/>
  <c r="H33" i="47"/>
  <c r="H34" i="47"/>
  <c r="G34" i="47"/>
  <c r="G33" i="47"/>
  <c r="M34" i="47"/>
  <c r="M33" i="47"/>
  <c r="L33" i="47"/>
  <c r="L34" i="47"/>
  <c r="F33" i="47"/>
  <c r="F34" i="47"/>
  <c r="J33" i="47"/>
  <c r="J34" i="47"/>
  <c r="C32" i="41"/>
  <c r="O30" i="41"/>
  <c r="O32" i="41" s="1"/>
  <c r="C32" i="47"/>
  <c r="C33" i="39"/>
  <c r="C34" i="47" l="1"/>
  <c r="C33" i="47"/>
  <c r="O33" i="47" s="1"/>
  <c r="O32" i="47"/>
  <c r="O34" i="47" l="1"/>
  <c r="C21" i="47"/>
  <c r="C14" i="47"/>
  <c r="C18" i="47"/>
  <c r="C15" i="47"/>
  <c r="C19" i="47"/>
  <c r="C23" i="47"/>
  <c r="C16" i="47"/>
  <c r="C24" i="47"/>
  <c r="O29" i="63" l="1"/>
  <c r="N23" i="63"/>
  <c r="M23" i="63"/>
  <c r="L23" i="63"/>
  <c r="K23" i="63"/>
  <c r="J23" i="63"/>
  <c r="I23" i="63"/>
  <c r="H23" i="63"/>
  <c r="G23" i="63"/>
  <c r="F23" i="63"/>
  <c r="E23" i="63"/>
  <c r="D23" i="63"/>
  <c r="C23" i="63"/>
  <c r="O23" i="63" s="1"/>
  <c r="N22" i="63"/>
  <c r="M22" i="63"/>
  <c r="L22" i="63"/>
  <c r="K22" i="63"/>
  <c r="J22" i="63"/>
  <c r="I22" i="63"/>
  <c r="H22" i="63"/>
  <c r="G22" i="63"/>
  <c r="F22" i="63"/>
  <c r="E22" i="63"/>
  <c r="D22" i="63"/>
  <c r="C22" i="63"/>
  <c r="O22" i="63" s="1"/>
  <c r="N21" i="63"/>
  <c r="M21" i="63"/>
  <c r="L21" i="63"/>
  <c r="K21" i="63"/>
  <c r="J21" i="63"/>
  <c r="I21" i="63"/>
  <c r="H21" i="63"/>
  <c r="G21" i="63"/>
  <c r="F21" i="63"/>
  <c r="E21" i="63"/>
  <c r="D21" i="63"/>
  <c r="C21" i="63"/>
  <c r="O21" i="63" s="1"/>
  <c r="N20" i="63"/>
  <c r="M20" i="63"/>
  <c r="L20" i="63"/>
  <c r="K20" i="63"/>
  <c r="J20" i="63"/>
  <c r="I20" i="63"/>
  <c r="H20" i="63"/>
  <c r="G20" i="63"/>
  <c r="F20" i="63"/>
  <c r="E20" i="63"/>
  <c r="D20" i="63"/>
  <c r="C20" i="63"/>
  <c r="O20" i="63" s="1"/>
  <c r="N19" i="63"/>
  <c r="M19" i="63"/>
  <c r="L19" i="63"/>
  <c r="K19" i="63"/>
  <c r="J19" i="63"/>
  <c r="I19" i="63"/>
  <c r="H19" i="63"/>
  <c r="G19" i="63"/>
  <c r="F19" i="63"/>
  <c r="E19" i="63"/>
  <c r="D19" i="63"/>
  <c r="C19" i="63"/>
  <c r="N18" i="63"/>
  <c r="M18" i="63"/>
  <c r="L18" i="63"/>
  <c r="K18" i="63"/>
  <c r="J18" i="63"/>
  <c r="I18" i="63"/>
  <c r="H18" i="63"/>
  <c r="G18" i="63"/>
  <c r="F18" i="63"/>
  <c r="E18" i="63"/>
  <c r="D18" i="63"/>
  <c r="C18" i="63"/>
  <c r="N17" i="63"/>
  <c r="M17" i="63"/>
  <c r="L17" i="63"/>
  <c r="K17" i="63"/>
  <c r="J17" i="63"/>
  <c r="I17" i="63"/>
  <c r="H17" i="63"/>
  <c r="G17" i="63"/>
  <c r="F17" i="63"/>
  <c r="E17" i="63"/>
  <c r="D17" i="63"/>
  <c r="C17" i="63"/>
  <c r="O17" i="63" s="1"/>
  <c r="N16" i="63"/>
  <c r="M16" i="63"/>
  <c r="L16" i="63"/>
  <c r="K16" i="63"/>
  <c r="J16" i="63"/>
  <c r="I16" i="63"/>
  <c r="H16" i="63"/>
  <c r="G16" i="63"/>
  <c r="F16" i="63"/>
  <c r="E16" i="63"/>
  <c r="D16" i="63"/>
  <c r="C16" i="63"/>
  <c r="O16" i="63" s="1"/>
  <c r="N15" i="63"/>
  <c r="M15" i="63"/>
  <c r="L15" i="63"/>
  <c r="K15" i="63"/>
  <c r="J15" i="63"/>
  <c r="I15" i="63"/>
  <c r="H15" i="63"/>
  <c r="G15" i="63"/>
  <c r="F15" i="63"/>
  <c r="E15" i="63"/>
  <c r="D15" i="63"/>
  <c r="C15" i="63"/>
  <c r="O15" i="63" s="1"/>
  <c r="N14" i="63"/>
  <c r="M14" i="63"/>
  <c r="L14" i="63"/>
  <c r="K14" i="63"/>
  <c r="J14" i="63"/>
  <c r="I14" i="63"/>
  <c r="H14" i="63"/>
  <c r="G14" i="63"/>
  <c r="F14" i="63"/>
  <c r="E14" i="63"/>
  <c r="D14" i="63"/>
  <c r="C14" i="63"/>
  <c r="O14" i="63" s="1"/>
  <c r="N13" i="63"/>
  <c r="M13" i="63"/>
  <c r="L13" i="63"/>
  <c r="K13" i="63"/>
  <c r="J13" i="63"/>
  <c r="I13" i="63"/>
  <c r="H13" i="63"/>
  <c r="G13" i="63"/>
  <c r="F13" i="63"/>
  <c r="E13" i="63"/>
  <c r="D13" i="63"/>
  <c r="C13" i="63"/>
  <c r="O13" i="63" s="1"/>
  <c r="N12" i="63"/>
  <c r="M12" i="63"/>
  <c r="L12" i="63"/>
  <c r="K12" i="63"/>
  <c r="J12" i="63"/>
  <c r="I12" i="63"/>
  <c r="H12" i="63"/>
  <c r="G12" i="63"/>
  <c r="F12" i="63"/>
  <c r="E12" i="63"/>
  <c r="D12" i="63"/>
  <c r="C12" i="63"/>
  <c r="O12" i="63" s="1"/>
  <c r="N11" i="63"/>
  <c r="M11" i="63"/>
  <c r="L11" i="63"/>
  <c r="K11" i="63"/>
  <c r="J11" i="63"/>
  <c r="I11" i="63"/>
  <c r="H11" i="63"/>
  <c r="G11" i="63"/>
  <c r="F11" i="63"/>
  <c r="E11" i="63"/>
  <c r="D11" i="63"/>
  <c r="C11" i="63"/>
  <c r="N10" i="63"/>
  <c r="M10" i="63"/>
  <c r="L10" i="63"/>
  <c r="K10" i="63"/>
  <c r="J10" i="63"/>
  <c r="I10" i="63"/>
  <c r="H10" i="63"/>
  <c r="G10" i="63"/>
  <c r="F10" i="63"/>
  <c r="E10" i="63"/>
  <c r="D10" i="63"/>
  <c r="C10" i="63"/>
  <c r="N9" i="63"/>
  <c r="M9" i="63"/>
  <c r="L9" i="63"/>
  <c r="K9" i="63"/>
  <c r="J9" i="63"/>
  <c r="I9" i="63"/>
  <c r="H9" i="63"/>
  <c r="G9" i="63"/>
  <c r="F9" i="63"/>
  <c r="E9" i="63"/>
  <c r="D9" i="63"/>
  <c r="C9" i="63"/>
  <c r="N8" i="63"/>
  <c r="M8" i="63"/>
  <c r="L8" i="63"/>
  <c r="K8" i="63"/>
  <c r="J8" i="63"/>
  <c r="I8" i="63"/>
  <c r="H8" i="63"/>
  <c r="G8" i="63"/>
  <c r="F8" i="63"/>
  <c r="E8" i="63"/>
  <c r="D8" i="63"/>
  <c r="C8" i="63"/>
  <c r="O8" i="63" s="1"/>
  <c r="N7" i="63"/>
  <c r="M7" i="63"/>
  <c r="L7" i="63"/>
  <c r="K7" i="63"/>
  <c r="J7" i="63"/>
  <c r="I7" i="63"/>
  <c r="H7" i="63"/>
  <c r="G7" i="63"/>
  <c r="F7" i="63"/>
  <c r="E7" i="63"/>
  <c r="D7" i="63"/>
  <c r="C7" i="63"/>
  <c r="O7" i="63" s="1"/>
  <c r="N6" i="63"/>
  <c r="M6" i="63"/>
  <c r="L6" i="63"/>
  <c r="K6" i="63"/>
  <c r="J6" i="63"/>
  <c r="I6" i="63"/>
  <c r="H6" i="63"/>
  <c r="G6" i="63"/>
  <c r="F6" i="63"/>
  <c r="E6" i="63"/>
  <c r="D6" i="63"/>
  <c r="C6" i="63"/>
  <c r="O6" i="63" s="1"/>
  <c r="N5" i="63"/>
  <c r="M5" i="63"/>
  <c r="L5" i="63"/>
  <c r="K5" i="63"/>
  <c r="J5" i="63"/>
  <c r="I5" i="63"/>
  <c r="H5" i="63"/>
  <c r="G5" i="63"/>
  <c r="F5" i="63"/>
  <c r="E5" i="63"/>
  <c r="D5" i="63"/>
  <c r="C5" i="63"/>
  <c r="O5" i="63" s="1"/>
  <c r="B4" i="63"/>
  <c r="G4" i="63" s="1"/>
  <c r="M23" i="61"/>
  <c r="L23" i="61"/>
  <c r="K23" i="61"/>
  <c r="J23" i="61"/>
  <c r="I23" i="61"/>
  <c r="H23" i="61"/>
  <c r="G23" i="61"/>
  <c r="F23" i="61"/>
  <c r="E23" i="61"/>
  <c r="D23" i="61"/>
  <c r="C23" i="61"/>
  <c r="B23" i="61"/>
  <c r="M22" i="61"/>
  <c r="L22" i="61"/>
  <c r="K22" i="61"/>
  <c r="J22" i="61"/>
  <c r="I22" i="61"/>
  <c r="H22" i="61"/>
  <c r="G22" i="61"/>
  <c r="F22" i="61"/>
  <c r="E22" i="61"/>
  <c r="D22" i="61"/>
  <c r="C22" i="61"/>
  <c r="B22" i="61"/>
  <c r="M21" i="61"/>
  <c r="L21" i="61"/>
  <c r="K21" i="61"/>
  <c r="J21" i="61"/>
  <c r="I21" i="61"/>
  <c r="H21" i="61"/>
  <c r="G21" i="61"/>
  <c r="F21" i="61"/>
  <c r="E21" i="61"/>
  <c r="D21" i="61"/>
  <c r="C21" i="61"/>
  <c r="B21" i="61"/>
  <c r="M20" i="61"/>
  <c r="L20" i="61"/>
  <c r="K20" i="61"/>
  <c r="J20" i="61"/>
  <c r="I20" i="61"/>
  <c r="H20" i="61"/>
  <c r="G20" i="61"/>
  <c r="F20" i="61"/>
  <c r="E20" i="61"/>
  <c r="D20" i="61"/>
  <c r="C20" i="61"/>
  <c r="B20" i="61"/>
  <c r="M19" i="61"/>
  <c r="L19" i="61"/>
  <c r="K19" i="61"/>
  <c r="J19" i="61"/>
  <c r="I19" i="61"/>
  <c r="H19" i="61"/>
  <c r="G19" i="61"/>
  <c r="F19" i="61"/>
  <c r="E19" i="61"/>
  <c r="D19" i="61"/>
  <c r="C19" i="61"/>
  <c r="B19" i="61"/>
  <c r="M18" i="61"/>
  <c r="L18" i="61"/>
  <c r="K18" i="61"/>
  <c r="J18" i="61"/>
  <c r="I18" i="61"/>
  <c r="H18" i="61"/>
  <c r="G18" i="61"/>
  <c r="F18" i="61"/>
  <c r="E18" i="61"/>
  <c r="D18" i="61"/>
  <c r="C18" i="61"/>
  <c r="B18" i="61"/>
  <c r="M17" i="61"/>
  <c r="L17" i="61"/>
  <c r="K17" i="61"/>
  <c r="J17" i="61"/>
  <c r="I17" i="61"/>
  <c r="H17" i="61"/>
  <c r="G17" i="61"/>
  <c r="F17" i="61"/>
  <c r="E17" i="61"/>
  <c r="D17" i="61"/>
  <c r="C17" i="61"/>
  <c r="B17" i="61"/>
  <c r="M16" i="61"/>
  <c r="L16" i="61"/>
  <c r="K16" i="61"/>
  <c r="J16" i="61"/>
  <c r="I16" i="61"/>
  <c r="H16" i="61"/>
  <c r="G16" i="61"/>
  <c r="F16" i="61"/>
  <c r="E16" i="61"/>
  <c r="D16" i="61"/>
  <c r="C16" i="61"/>
  <c r="B16" i="61"/>
  <c r="M15" i="61"/>
  <c r="L15" i="61"/>
  <c r="K15" i="61"/>
  <c r="J15" i="61"/>
  <c r="I15" i="61"/>
  <c r="H15" i="61"/>
  <c r="G15" i="61"/>
  <c r="F15" i="61"/>
  <c r="E15" i="61"/>
  <c r="D15" i="61"/>
  <c r="C15" i="61"/>
  <c r="B15" i="61"/>
  <c r="M14" i="61"/>
  <c r="L14" i="61"/>
  <c r="K14" i="61"/>
  <c r="J14" i="61"/>
  <c r="I14" i="61"/>
  <c r="H14" i="61"/>
  <c r="G14" i="61"/>
  <c r="F14" i="61"/>
  <c r="E14" i="61"/>
  <c r="D14" i="61"/>
  <c r="C14" i="61"/>
  <c r="B14" i="61"/>
  <c r="M13" i="61"/>
  <c r="L13" i="61"/>
  <c r="K13" i="61"/>
  <c r="J13" i="61"/>
  <c r="I13" i="61"/>
  <c r="H13" i="61"/>
  <c r="G13" i="61"/>
  <c r="F13" i="61"/>
  <c r="E13" i="61"/>
  <c r="D13" i="61"/>
  <c r="C13" i="61"/>
  <c r="B13" i="61"/>
  <c r="M12" i="61"/>
  <c r="L12" i="61"/>
  <c r="K12" i="61"/>
  <c r="J12" i="61"/>
  <c r="I12" i="61"/>
  <c r="H12" i="61"/>
  <c r="G12" i="61"/>
  <c r="F12" i="61"/>
  <c r="E12" i="61"/>
  <c r="D12" i="61"/>
  <c r="C12" i="61"/>
  <c r="B12" i="61"/>
  <c r="M11" i="61"/>
  <c r="L11" i="61"/>
  <c r="K11" i="61"/>
  <c r="J11" i="61"/>
  <c r="I11" i="61"/>
  <c r="H11" i="61"/>
  <c r="G11" i="61"/>
  <c r="F11" i="61"/>
  <c r="E11" i="61"/>
  <c r="D11" i="61"/>
  <c r="C11" i="61"/>
  <c r="B11" i="61"/>
  <c r="M10" i="61"/>
  <c r="L10" i="61"/>
  <c r="K10" i="61"/>
  <c r="J10" i="61"/>
  <c r="I10" i="61"/>
  <c r="H10" i="61"/>
  <c r="G10" i="61"/>
  <c r="F10" i="61"/>
  <c r="E10" i="61"/>
  <c r="D10" i="61"/>
  <c r="C10" i="61"/>
  <c r="B10" i="61"/>
  <c r="M9" i="61"/>
  <c r="L9" i="61"/>
  <c r="K9" i="61"/>
  <c r="J9" i="61"/>
  <c r="I9" i="61"/>
  <c r="H9" i="61"/>
  <c r="G9" i="61"/>
  <c r="F9" i="61"/>
  <c r="E9" i="61"/>
  <c r="D9" i="61"/>
  <c r="C9" i="61"/>
  <c r="B9" i="61"/>
  <c r="M8" i="61"/>
  <c r="L8" i="61"/>
  <c r="K8" i="61"/>
  <c r="J8" i="61"/>
  <c r="I8" i="61"/>
  <c r="H8" i="61"/>
  <c r="G8" i="61"/>
  <c r="F8" i="61"/>
  <c r="E8" i="61"/>
  <c r="D8" i="61"/>
  <c r="C8" i="61"/>
  <c r="B8" i="61"/>
  <c r="M7" i="61"/>
  <c r="L7" i="61"/>
  <c r="K7" i="61"/>
  <c r="J7" i="61"/>
  <c r="I7" i="61"/>
  <c r="H7" i="61"/>
  <c r="G7" i="61"/>
  <c r="F7" i="61"/>
  <c r="E7" i="61"/>
  <c r="D7" i="61"/>
  <c r="C7" i="61"/>
  <c r="B7" i="61"/>
  <c r="M6" i="61"/>
  <c r="L6" i="61"/>
  <c r="K6" i="61"/>
  <c r="J6" i="61"/>
  <c r="I6" i="61"/>
  <c r="H6" i="61"/>
  <c r="G6" i="61"/>
  <c r="F6" i="61"/>
  <c r="E6" i="61"/>
  <c r="D6" i="61"/>
  <c r="C6" i="61"/>
  <c r="B6" i="61"/>
  <c r="M5" i="61"/>
  <c r="L5" i="61"/>
  <c r="K5" i="61"/>
  <c r="J5" i="61"/>
  <c r="I5" i="61"/>
  <c r="H5" i="61"/>
  <c r="G5" i="61"/>
  <c r="F5" i="61"/>
  <c r="E5" i="61"/>
  <c r="D5" i="61"/>
  <c r="C5" i="61"/>
  <c r="B5" i="61"/>
  <c r="M4" i="61"/>
  <c r="M24" i="61" s="1"/>
  <c r="L4" i="61"/>
  <c r="K4" i="61"/>
  <c r="K24" i="61" s="1"/>
  <c r="J4" i="61"/>
  <c r="I4" i="61"/>
  <c r="H4" i="61"/>
  <c r="G4" i="61"/>
  <c r="G24" i="61" s="1"/>
  <c r="F4" i="61"/>
  <c r="E4" i="61"/>
  <c r="E24" i="61" s="1"/>
  <c r="D4" i="61"/>
  <c r="C4" i="61"/>
  <c r="C24" i="61" s="1"/>
  <c r="B4" i="61"/>
  <c r="B24" i="60"/>
  <c r="N23" i="60"/>
  <c r="M23" i="60"/>
  <c r="L23" i="60"/>
  <c r="K23" i="60"/>
  <c r="J23" i="60"/>
  <c r="I23" i="60"/>
  <c r="H23" i="60"/>
  <c r="G23" i="60"/>
  <c r="F23" i="60"/>
  <c r="E23" i="60"/>
  <c r="D23" i="60"/>
  <c r="C23" i="60"/>
  <c r="N22" i="60"/>
  <c r="M22" i="60"/>
  <c r="L22" i="60"/>
  <c r="K22" i="60"/>
  <c r="J22" i="60"/>
  <c r="I22" i="60"/>
  <c r="H22" i="60"/>
  <c r="G22" i="60"/>
  <c r="F22" i="60"/>
  <c r="E22" i="60"/>
  <c r="D22" i="60"/>
  <c r="C22" i="60"/>
  <c r="N21" i="60"/>
  <c r="M21" i="60"/>
  <c r="L21" i="60"/>
  <c r="K21" i="60"/>
  <c r="J21" i="60"/>
  <c r="I21" i="60"/>
  <c r="H21" i="60"/>
  <c r="G21" i="60"/>
  <c r="F21" i="60"/>
  <c r="E21" i="60"/>
  <c r="D21" i="60"/>
  <c r="C21" i="60"/>
  <c r="N20" i="60"/>
  <c r="M20" i="60"/>
  <c r="L20" i="60"/>
  <c r="K20" i="60"/>
  <c r="J20" i="60"/>
  <c r="I20" i="60"/>
  <c r="H20" i="60"/>
  <c r="G20" i="60"/>
  <c r="F20" i="60"/>
  <c r="E20" i="60"/>
  <c r="D20" i="60"/>
  <c r="C20" i="60"/>
  <c r="N19" i="60"/>
  <c r="M19" i="60"/>
  <c r="L19" i="60"/>
  <c r="K19" i="60"/>
  <c r="J19" i="60"/>
  <c r="I19" i="60"/>
  <c r="H19" i="60"/>
  <c r="G19" i="60"/>
  <c r="F19" i="60"/>
  <c r="E19" i="60"/>
  <c r="D19" i="60"/>
  <c r="C19" i="60"/>
  <c r="N18" i="60"/>
  <c r="M18" i="60"/>
  <c r="L18" i="60"/>
  <c r="K18" i="60"/>
  <c r="J18" i="60"/>
  <c r="I18" i="60"/>
  <c r="H18" i="60"/>
  <c r="G18" i="60"/>
  <c r="F18" i="60"/>
  <c r="E18" i="60"/>
  <c r="D18" i="60"/>
  <c r="C18" i="60"/>
  <c r="N17" i="60"/>
  <c r="M17" i="60"/>
  <c r="L17" i="60"/>
  <c r="K17" i="60"/>
  <c r="J17" i="60"/>
  <c r="I17" i="60"/>
  <c r="H17" i="60"/>
  <c r="G17" i="60"/>
  <c r="F17" i="60"/>
  <c r="E17" i="60"/>
  <c r="D17" i="60"/>
  <c r="C17" i="60"/>
  <c r="N16" i="60"/>
  <c r="M16" i="60"/>
  <c r="L16" i="60"/>
  <c r="K16" i="60"/>
  <c r="J16" i="60"/>
  <c r="I16" i="60"/>
  <c r="H16" i="60"/>
  <c r="G16" i="60"/>
  <c r="F16" i="60"/>
  <c r="E16" i="60"/>
  <c r="D16" i="60"/>
  <c r="C16" i="60"/>
  <c r="N15" i="60"/>
  <c r="M15" i="60"/>
  <c r="L15" i="60"/>
  <c r="K15" i="60"/>
  <c r="J15" i="60"/>
  <c r="I15" i="60"/>
  <c r="H15" i="60"/>
  <c r="G15" i="60"/>
  <c r="F15" i="60"/>
  <c r="E15" i="60"/>
  <c r="D15" i="60"/>
  <c r="C15" i="60"/>
  <c r="N14" i="60"/>
  <c r="M14" i="60"/>
  <c r="L14" i="60"/>
  <c r="K14" i="60"/>
  <c r="J14" i="60"/>
  <c r="I14" i="60"/>
  <c r="H14" i="60"/>
  <c r="G14" i="60"/>
  <c r="F14" i="60"/>
  <c r="E14" i="60"/>
  <c r="D14" i="60"/>
  <c r="C14" i="60"/>
  <c r="N13" i="60"/>
  <c r="M13" i="60"/>
  <c r="L13" i="60"/>
  <c r="K13" i="60"/>
  <c r="J13" i="60"/>
  <c r="I13" i="60"/>
  <c r="H13" i="60"/>
  <c r="G13" i="60"/>
  <c r="F13" i="60"/>
  <c r="E13" i="60"/>
  <c r="D13" i="60"/>
  <c r="C13" i="60"/>
  <c r="N12" i="60"/>
  <c r="M12" i="60"/>
  <c r="L12" i="60"/>
  <c r="K12" i="60"/>
  <c r="J12" i="60"/>
  <c r="I12" i="60"/>
  <c r="H12" i="60"/>
  <c r="G12" i="60"/>
  <c r="F12" i="60"/>
  <c r="E12" i="60"/>
  <c r="D12" i="60"/>
  <c r="C12" i="60"/>
  <c r="N11" i="60"/>
  <c r="M11" i="60"/>
  <c r="L11" i="60"/>
  <c r="K11" i="60"/>
  <c r="J11" i="60"/>
  <c r="I11" i="60"/>
  <c r="H11" i="60"/>
  <c r="G11" i="60"/>
  <c r="F11" i="60"/>
  <c r="E11" i="60"/>
  <c r="D11" i="60"/>
  <c r="C11" i="60"/>
  <c r="N10" i="60"/>
  <c r="M10" i="60"/>
  <c r="L10" i="60"/>
  <c r="K10" i="60"/>
  <c r="J10" i="60"/>
  <c r="I10" i="60"/>
  <c r="H10" i="60"/>
  <c r="G10" i="60"/>
  <c r="F10" i="60"/>
  <c r="E10" i="60"/>
  <c r="D10" i="60"/>
  <c r="C10" i="60"/>
  <c r="N9" i="60"/>
  <c r="M9" i="60"/>
  <c r="L9" i="60"/>
  <c r="K9" i="60"/>
  <c r="J9" i="60"/>
  <c r="I9" i="60"/>
  <c r="H9" i="60"/>
  <c r="G9" i="60"/>
  <c r="F9" i="60"/>
  <c r="E9" i="60"/>
  <c r="D9" i="60"/>
  <c r="C9" i="60"/>
  <c r="N8" i="60"/>
  <c r="M8" i="60"/>
  <c r="L8" i="60"/>
  <c r="K8" i="60"/>
  <c r="J8" i="60"/>
  <c r="I8" i="60"/>
  <c r="H8" i="60"/>
  <c r="G8" i="60"/>
  <c r="F8" i="60"/>
  <c r="E8" i="60"/>
  <c r="D8" i="60"/>
  <c r="C8" i="60"/>
  <c r="N7" i="60"/>
  <c r="M7" i="60"/>
  <c r="L7" i="60"/>
  <c r="K7" i="60"/>
  <c r="J7" i="60"/>
  <c r="I7" i="60"/>
  <c r="H7" i="60"/>
  <c r="G7" i="60"/>
  <c r="F7" i="60"/>
  <c r="E7" i="60"/>
  <c r="D7" i="60"/>
  <c r="C7" i="60"/>
  <c r="N6" i="60"/>
  <c r="M6" i="60"/>
  <c r="L6" i="60"/>
  <c r="K6" i="60"/>
  <c r="J6" i="60"/>
  <c r="I6" i="60"/>
  <c r="H6" i="60"/>
  <c r="G6" i="60"/>
  <c r="F6" i="60"/>
  <c r="E6" i="60"/>
  <c r="D6" i="60"/>
  <c r="C6" i="60"/>
  <c r="N5" i="60"/>
  <c r="M5" i="60"/>
  <c r="L5" i="60"/>
  <c r="K5" i="60"/>
  <c r="J5" i="60"/>
  <c r="I5" i="60"/>
  <c r="H5" i="60"/>
  <c r="G5" i="60"/>
  <c r="F5" i="60"/>
  <c r="E5" i="60"/>
  <c r="D5" i="60"/>
  <c r="C5" i="60"/>
  <c r="N4" i="60"/>
  <c r="M4" i="60"/>
  <c r="L4" i="60"/>
  <c r="L24" i="60" s="1"/>
  <c r="K4" i="60"/>
  <c r="J4" i="60"/>
  <c r="I4" i="60"/>
  <c r="H4" i="60"/>
  <c r="G4" i="60"/>
  <c r="F4" i="60"/>
  <c r="E4" i="60"/>
  <c r="D4" i="60"/>
  <c r="C4" i="60"/>
  <c r="N26" i="59"/>
  <c r="M26" i="59"/>
  <c r="L26" i="59"/>
  <c r="K26" i="59"/>
  <c r="J26" i="59"/>
  <c r="I26" i="59"/>
  <c r="H26" i="59"/>
  <c r="G26" i="59"/>
  <c r="F26" i="59"/>
  <c r="E26" i="59"/>
  <c r="D26" i="59"/>
  <c r="C26" i="59"/>
  <c r="B25" i="59"/>
  <c r="M25" i="59"/>
  <c r="E25" i="59"/>
  <c r="B24" i="58"/>
  <c r="N23" i="58"/>
  <c r="M23" i="58"/>
  <c r="L23" i="58"/>
  <c r="K23" i="58"/>
  <c r="J23" i="58"/>
  <c r="I23" i="58"/>
  <c r="H23" i="58"/>
  <c r="G23" i="58"/>
  <c r="F23" i="58"/>
  <c r="E23" i="58"/>
  <c r="D23" i="58"/>
  <c r="C23" i="58"/>
  <c r="N22" i="58"/>
  <c r="M22" i="58"/>
  <c r="L22" i="58"/>
  <c r="K22" i="58"/>
  <c r="J22" i="58"/>
  <c r="I22" i="58"/>
  <c r="H22" i="58"/>
  <c r="G22" i="58"/>
  <c r="F22" i="58"/>
  <c r="E22" i="58"/>
  <c r="D22" i="58"/>
  <c r="C22" i="58"/>
  <c r="N21" i="58"/>
  <c r="M21" i="58"/>
  <c r="L21" i="58"/>
  <c r="K21" i="58"/>
  <c r="J21" i="58"/>
  <c r="I21" i="58"/>
  <c r="H21" i="58"/>
  <c r="G21" i="58"/>
  <c r="F21" i="58"/>
  <c r="E21" i="58"/>
  <c r="D21" i="58"/>
  <c r="C21" i="58"/>
  <c r="N20" i="58"/>
  <c r="M20" i="58"/>
  <c r="L20" i="58"/>
  <c r="K20" i="58"/>
  <c r="J20" i="58"/>
  <c r="I20" i="58"/>
  <c r="H20" i="58"/>
  <c r="G20" i="58"/>
  <c r="F20" i="58"/>
  <c r="E20" i="58"/>
  <c r="D20" i="58"/>
  <c r="C20" i="58"/>
  <c r="N19" i="58"/>
  <c r="M19" i="58"/>
  <c r="L19" i="58"/>
  <c r="K19" i="58"/>
  <c r="J19" i="58"/>
  <c r="I19" i="58"/>
  <c r="H19" i="58"/>
  <c r="G19" i="58"/>
  <c r="F19" i="58"/>
  <c r="E19" i="58"/>
  <c r="D19" i="58"/>
  <c r="C19" i="58"/>
  <c r="N18" i="58"/>
  <c r="M18" i="58"/>
  <c r="L18" i="58"/>
  <c r="K18" i="58"/>
  <c r="J18" i="58"/>
  <c r="I18" i="58"/>
  <c r="H18" i="58"/>
  <c r="G18" i="58"/>
  <c r="F18" i="58"/>
  <c r="E18" i="58"/>
  <c r="D18" i="58"/>
  <c r="C18" i="58"/>
  <c r="N17" i="58"/>
  <c r="M17" i="58"/>
  <c r="L17" i="58"/>
  <c r="K17" i="58"/>
  <c r="J17" i="58"/>
  <c r="I17" i="58"/>
  <c r="H17" i="58"/>
  <c r="G17" i="58"/>
  <c r="F17" i="58"/>
  <c r="E17" i="58"/>
  <c r="D17" i="58"/>
  <c r="C17" i="58"/>
  <c r="N16" i="58"/>
  <c r="M16" i="58"/>
  <c r="L16" i="58"/>
  <c r="K16" i="58"/>
  <c r="J16" i="58"/>
  <c r="I16" i="58"/>
  <c r="H16" i="58"/>
  <c r="G16" i="58"/>
  <c r="F16" i="58"/>
  <c r="E16" i="58"/>
  <c r="D16" i="58"/>
  <c r="C16" i="58"/>
  <c r="N15" i="58"/>
  <c r="M15" i="58"/>
  <c r="L15" i="58"/>
  <c r="K15" i="58"/>
  <c r="J15" i="58"/>
  <c r="I15" i="58"/>
  <c r="H15" i="58"/>
  <c r="G15" i="58"/>
  <c r="F15" i="58"/>
  <c r="E15" i="58"/>
  <c r="D15" i="58"/>
  <c r="C15" i="58"/>
  <c r="N14" i="58"/>
  <c r="M14" i="58"/>
  <c r="L14" i="58"/>
  <c r="K14" i="58"/>
  <c r="J14" i="58"/>
  <c r="I14" i="58"/>
  <c r="H14" i="58"/>
  <c r="G14" i="58"/>
  <c r="F14" i="58"/>
  <c r="E14" i="58"/>
  <c r="D14" i="58"/>
  <c r="C14" i="58"/>
  <c r="N13" i="58"/>
  <c r="M13" i="58"/>
  <c r="L13" i="58"/>
  <c r="K13" i="58"/>
  <c r="J13" i="58"/>
  <c r="I13" i="58"/>
  <c r="H13" i="58"/>
  <c r="G13" i="58"/>
  <c r="F13" i="58"/>
  <c r="E13" i="58"/>
  <c r="D13" i="58"/>
  <c r="C13" i="58"/>
  <c r="N12" i="58"/>
  <c r="M12" i="58"/>
  <c r="L12" i="58"/>
  <c r="K12" i="58"/>
  <c r="J12" i="58"/>
  <c r="I12" i="58"/>
  <c r="H12" i="58"/>
  <c r="G12" i="58"/>
  <c r="F12" i="58"/>
  <c r="E12" i="58"/>
  <c r="D12" i="58"/>
  <c r="C12" i="58"/>
  <c r="N11" i="58"/>
  <c r="M11" i="58"/>
  <c r="L11" i="58"/>
  <c r="K11" i="58"/>
  <c r="J11" i="58"/>
  <c r="I11" i="58"/>
  <c r="H11" i="58"/>
  <c r="G11" i="58"/>
  <c r="F11" i="58"/>
  <c r="E11" i="58"/>
  <c r="D11" i="58"/>
  <c r="C11" i="58"/>
  <c r="N10" i="58"/>
  <c r="M10" i="58"/>
  <c r="L10" i="58"/>
  <c r="K10" i="58"/>
  <c r="J10" i="58"/>
  <c r="I10" i="58"/>
  <c r="H10" i="58"/>
  <c r="G10" i="58"/>
  <c r="F10" i="58"/>
  <c r="E10" i="58"/>
  <c r="D10" i="58"/>
  <c r="C10" i="58"/>
  <c r="N9" i="58"/>
  <c r="M9" i="58"/>
  <c r="L9" i="58"/>
  <c r="K9" i="58"/>
  <c r="J9" i="58"/>
  <c r="I9" i="58"/>
  <c r="H9" i="58"/>
  <c r="G9" i="58"/>
  <c r="F9" i="58"/>
  <c r="E9" i="58"/>
  <c r="D9" i="58"/>
  <c r="C9" i="58"/>
  <c r="N8" i="58"/>
  <c r="M8" i="58"/>
  <c r="L8" i="58"/>
  <c r="K8" i="58"/>
  <c r="J8" i="58"/>
  <c r="I8" i="58"/>
  <c r="H8" i="58"/>
  <c r="G8" i="58"/>
  <c r="F8" i="58"/>
  <c r="E8" i="58"/>
  <c r="D8" i="58"/>
  <c r="C8" i="58"/>
  <c r="N7" i="58"/>
  <c r="M7" i="58"/>
  <c r="L7" i="58"/>
  <c r="K7" i="58"/>
  <c r="J7" i="58"/>
  <c r="I7" i="58"/>
  <c r="H7" i="58"/>
  <c r="G7" i="58"/>
  <c r="F7" i="58"/>
  <c r="E7" i="58"/>
  <c r="D7" i="58"/>
  <c r="C7" i="58"/>
  <c r="N6" i="58"/>
  <c r="M6" i="58"/>
  <c r="L6" i="58"/>
  <c r="K6" i="58"/>
  <c r="J6" i="58"/>
  <c r="I6" i="58"/>
  <c r="H6" i="58"/>
  <c r="G6" i="58"/>
  <c r="F6" i="58"/>
  <c r="E6" i="58"/>
  <c r="D6" i="58"/>
  <c r="C6" i="58"/>
  <c r="N5" i="58"/>
  <c r="M5" i="58"/>
  <c r="L5" i="58"/>
  <c r="K5" i="58"/>
  <c r="J5" i="58"/>
  <c r="I5" i="58"/>
  <c r="H5" i="58"/>
  <c r="G5" i="58"/>
  <c r="F5" i="58"/>
  <c r="E5" i="58"/>
  <c r="D5" i="58"/>
  <c r="C5" i="58"/>
  <c r="N4" i="58"/>
  <c r="M4" i="58"/>
  <c r="L4" i="58"/>
  <c r="L24" i="58" s="1"/>
  <c r="K4" i="58"/>
  <c r="K24" i="58" s="1"/>
  <c r="J4" i="58"/>
  <c r="I4" i="58"/>
  <c r="H4" i="58"/>
  <c r="H24" i="58" s="1"/>
  <c r="G4" i="58"/>
  <c r="F4" i="58"/>
  <c r="E4" i="58"/>
  <c r="D4" i="58"/>
  <c r="D24" i="58" s="1"/>
  <c r="C4" i="58"/>
  <c r="B24" i="57"/>
  <c r="B24" i="56"/>
  <c r="O4" i="58" l="1"/>
  <c r="O11" i="58"/>
  <c r="O12" i="58"/>
  <c r="O15" i="58"/>
  <c r="O16" i="58"/>
  <c r="O17" i="58"/>
  <c r="O19" i="58"/>
  <c r="O21" i="58"/>
  <c r="O7" i="58"/>
  <c r="O8" i="58"/>
  <c r="O9" i="58"/>
  <c r="O20" i="58"/>
  <c r="O23" i="58"/>
  <c r="I4" i="63"/>
  <c r="I24" i="63" s="1"/>
  <c r="E27" i="59"/>
  <c r="M27" i="59"/>
  <c r="C24" i="58"/>
  <c r="I24" i="60"/>
  <c r="C25" i="59"/>
  <c r="C27" i="59" s="1"/>
  <c r="G25" i="59"/>
  <c r="G27" i="59" s="1"/>
  <c r="K25" i="59"/>
  <c r="K27" i="59" s="1"/>
  <c r="O8" i="59"/>
  <c r="O9" i="59"/>
  <c r="O10" i="59"/>
  <c r="O11" i="59"/>
  <c r="O12" i="59"/>
  <c r="O13" i="59"/>
  <c r="O14" i="59"/>
  <c r="O15" i="59"/>
  <c r="O16" i="59"/>
  <c r="O19" i="59"/>
  <c r="O20" i="59"/>
  <c r="O22" i="59"/>
  <c r="O23" i="59"/>
  <c r="O24" i="59"/>
  <c r="E24" i="58"/>
  <c r="I24" i="58"/>
  <c r="H25" i="59"/>
  <c r="H27" i="59" s="1"/>
  <c r="L25" i="59"/>
  <c r="L27" i="59" s="1"/>
  <c r="C24" i="60"/>
  <c r="O6" i="60"/>
  <c r="G24" i="60"/>
  <c r="K24" i="60"/>
  <c r="O7" i="60"/>
  <c r="O9" i="60"/>
  <c r="O11" i="60"/>
  <c r="O12" i="60"/>
  <c r="O13" i="60"/>
  <c r="O14" i="60"/>
  <c r="O15" i="60"/>
  <c r="O17" i="60"/>
  <c r="O19" i="60"/>
  <c r="O21" i="60"/>
  <c r="O22" i="60"/>
  <c r="F24" i="58"/>
  <c r="J24" i="58"/>
  <c r="N24" i="58"/>
  <c r="D24" i="60"/>
  <c r="N5" i="61"/>
  <c r="J24" i="61"/>
  <c r="N7" i="61"/>
  <c r="B24" i="61"/>
  <c r="N11" i="61"/>
  <c r="N12" i="61"/>
  <c r="N13" i="61"/>
  <c r="N16" i="61"/>
  <c r="N17" i="61"/>
  <c r="N18" i="61"/>
  <c r="N19" i="61"/>
  <c r="N21" i="61"/>
  <c r="N23" i="61"/>
  <c r="D4" i="63"/>
  <c r="D24" i="63" s="1"/>
  <c r="B24" i="63"/>
  <c r="N4" i="63"/>
  <c r="N24" i="63" s="1"/>
  <c r="M4" i="63"/>
  <c r="M24" i="63" s="1"/>
  <c r="H4" i="63"/>
  <c r="H24" i="63" s="1"/>
  <c r="C4" i="63"/>
  <c r="C24" i="63" s="1"/>
  <c r="K4" i="63"/>
  <c r="K24" i="63" s="1"/>
  <c r="E4" i="63"/>
  <c r="E24" i="63" s="1"/>
  <c r="L4" i="63"/>
  <c r="L24" i="63" s="1"/>
  <c r="O26" i="59"/>
  <c r="O5" i="58"/>
  <c r="O6" i="59"/>
  <c r="N8" i="61"/>
  <c r="O6" i="58"/>
  <c r="O13" i="58"/>
  <c r="O14" i="58"/>
  <c r="O7" i="59"/>
  <c r="O21" i="59"/>
  <c r="H24" i="60"/>
  <c r="O23" i="60"/>
  <c r="N9" i="61"/>
  <c r="N10" i="61"/>
  <c r="N20" i="61"/>
  <c r="O9" i="63"/>
  <c r="M24" i="58"/>
  <c r="O22" i="58"/>
  <c r="I25" i="59"/>
  <c r="I27" i="59" s="1"/>
  <c r="E24" i="60"/>
  <c r="M24" i="60"/>
  <c r="O8" i="60"/>
  <c r="O16" i="60"/>
  <c r="I24" i="61"/>
  <c r="G24" i="63"/>
  <c r="G24" i="58"/>
  <c r="O10" i="58"/>
  <c r="F25" i="59"/>
  <c r="F27" i="59" s="1"/>
  <c r="J25" i="59"/>
  <c r="J27" i="59" s="1"/>
  <c r="N25" i="59"/>
  <c r="N27" i="59" s="1"/>
  <c r="O18" i="59"/>
  <c r="F24" i="60"/>
  <c r="J24" i="60"/>
  <c r="N24" i="60"/>
  <c r="O10" i="60"/>
  <c r="O18" i="60"/>
  <c r="N4" i="61"/>
  <c r="F24" i="61"/>
  <c r="N15" i="61"/>
  <c r="N14" i="61"/>
  <c r="O10" i="63"/>
  <c r="O11" i="63"/>
  <c r="O18" i="63"/>
  <c r="O19" i="63"/>
  <c r="O18" i="58"/>
  <c r="O17" i="59"/>
  <c r="O4" i="60"/>
  <c r="O5" i="60"/>
  <c r="O20" i="60"/>
  <c r="D24" i="61"/>
  <c r="H24" i="61"/>
  <c r="L24" i="61"/>
  <c r="N6" i="61"/>
  <c r="N22" i="61"/>
  <c r="F4" i="63"/>
  <c r="F24" i="63" s="1"/>
  <c r="J4" i="63"/>
  <c r="J24" i="63" s="1"/>
  <c r="N24" i="61" l="1"/>
  <c r="O24" i="58"/>
  <c r="O4" i="63"/>
  <c r="O24" i="63"/>
  <c r="O24" i="62"/>
  <c r="O24" i="60"/>
  <c r="K55" i="18" l="1"/>
  <c r="H55" i="18"/>
  <c r="K54" i="18"/>
  <c r="H54" i="18"/>
  <c r="K53" i="18"/>
  <c r="H53" i="18"/>
  <c r="K52" i="18"/>
  <c r="H52" i="18"/>
  <c r="K51" i="18"/>
  <c r="H51" i="18"/>
  <c r="K50" i="18"/>
  <c r="H50" i="18"/>
  <c r="K49" i="18"/>
  <c r="H49" i="18"/>
  <c r="K48" i="18"/>
  <c r="H48" i="18"/>
  <c r="K47" i="18"/>
  <c r="H47" i="18"/>
  <c r="K46" i="18"/>
  <c r="H46" i="18"/>
  <c r="K45" i="18"/>
  <c r="H45" i="18"/>
  <c r="K44" i="18"/>
  <c r="H44" i="18"/>
  <c r="K43" i="18"/>
  <c r="H43" i="18"/>
  <c r="K42" i="18"/>
  <c r="H42" i="18"/>
  <c r="K41" i="18"/>
  <c r="H41" i="18"/>
  <c r="K40" i="18"/>
  <c r="H40" i="18"/>
  <c r="K39" i="18"/>
  <c r="H39" i="18"/>
  <c r="K38" i="18"/>
  <c r="H38" i="18"/>
  <c r="K37" i="18"/>
  <c r="H37" i="18"/>
  <c r="K36" i="18"/>
  <c r="H36" i="18"/>
  <c r="E10" i="7" l="1"/>
  <c r="E11" i="7"/>
  <c r="E12" i="7"/>
  <c r="E13" i="7"/>
  <c r="E14" i="7"/>
  <c r="E15" i="7"/>
  <c r="E16" i="7"/>
  <c r="E17" i="7"/>
  <c r="E18" i="7"/>
  <c r="E19" i="7"/>
  <c r="E20" i="7"/>
  <c r="E21" i="7"/>
  <c r="E22" i="7"/>
  <c r="E23" i="7"/>
  <c r="E24" i="7"/>
  <c r="E25" i="7"/>
  <c r="E26" i="7"/>
  <c r="E27" i="7"/>
  <c r="E28" i="7"/>
  <c r="E9" i="7"/>
  <c r="G9" i="8" l="1"/>
  <c r="G10" i="8"/>
  <c r="G11" i="8"/>
  <c r="G12" i="8"/>
  <c r="G13" i="8"/>
  <c r="G14" i="8"/>
  <c r="G15" i="8"/>
  <c r="G16" i="8"/>
  <c r="G17" i="8"/>
  <c r="G18" i="8"/>
  <c r="G19" i="8"/>
  <c r="G20" i="8"/>
  <c r="G21" i="8"/>
  <c r="G22" i="8"/>
  <c r="G23" i="8"/>
  <c r="G24" i="8"/>
  <c r="G25" i="8"/>
  <c r="G26" i="8"/>
  <c r="G27" i="8"/>
  <c r="G8" i="8"/>
  <c r="N27" i="52" l="1"/>
  <c r="N31" i="51" s="1"/>
  <c r="N32" i="51" s="1"/>
  <c r="M27" i="52"/>
  <c r="M31" i="51" s="1"/>
  <c r="M32" i="51" s="1"/>
  <c r="L27" i="52"/>
  <c r="L31" i="51" s="1"/>
  <c r="L32" i="51" s="1"/>
  <c r="K27" i="52"/>
  <c r="K31" i="51" s="1"/>
  <c r="K32" i="51" s="1"/>
  <c r="J27" i="52"/>
  <c r="J31" i="51" s="1"/>
  <c r="J32" i="51" s="1"/>
  <c r="I27" i="52"/>
  <c r="I31" i="51" s="1"/>
  <c r="I32" i="51" s="1"/>
  <c r="H27" i="52"/>
  <c r="H31" i="51" s="1"/>
  <c r="H32" i="51" s="1"/>
  <c r="G27" i="52"/>
  <c r="G31" i="51" s="1"/>
  <c r="G32" i="51" s="1"/>
  <c r="F27" i="52"/>
  <c r="F31" i="51" s="1"/>
  <c r="F32" i="51" s="1"/>
  <c r="E27" i="52"/>
  <c r="E31" i="51" s="1"/>
  <c r="E32" i="51" s="1"/>
  <c r="D27" i="52"/>
  <c r="D31" i="51" s="1"/>
  <c r="D32" i="51" s="1"/>
  <c r="C27" i="52"/>
  <c r="C31" i="51" s="1"/>
  <c r="B27" i="52"/>
  <c r="O26" i="52"/>
  <c r="O25" i="52"/>
  <c r="O24" i="52"/>
  <c r="O23" i="52"/>
  <c r="O22" i="52"/>
  <c r="O21" i="52"/>
  <c r="O20" i="52"/>
  <c r="O19" i="52"/>
  <c r="O18" i="52"/>
  <c r="O17" i="52"/>
  <c r="O16" i="52"/>
  <c r="O15" i="52"/>
  <c r="O14" i="52"/>
  <c r="O13" i="52"/>
  <c r="O12" i="52"/>
  <c r="O11" i="52"/>
  <c r="O10" i="52"/>
  <c r="O9" i="52"/>
  <c r="O8" i="52"/>
  <c r="O7" i="52"/>
  <c r="C32" i="51"/>
  <c r="B24" i="50"/>
  <c r="N27" i="49"/>
  <c r="N30" i="48" s="1"/>
  <c r="N31" i="48" s="1"/>
  <c r="M27" i="49"/>
  <c r="M30" i="48" s="1"/>
  <c r="M31" i="48" s="1"/>
  <c r="L27" i="49"/>
  <c r="L30" i="48" s="1"/>
  <c r="L31" i="48" s="1"/>
  <c r="K27" i="49"/>
  <c r="K30" i="48" s="1"/>
  <c r="K31" i="48" s="1"/>
  <c r="J27" i="49"/>
  <c r="J30" i="48" s="1"/>
  <c r="J31" i="48" s="1"/>
  <c r="I27" i="49"/>
  <c r="I30" i="48" s="1"/>
  <c r="I31" i="48" s="1"/>
  <c r="H27" i="49"/>
  <c r="H30" i="48" s="1"/>
  <c r="H31" i="48" s="1"/>
  <c r="G27" i="49"/>
  <c r="G30" i="48" s="1"/>
  <c r="G31" i="48" s="1"/>
  <c r="F27" i="49"/>
  <c r="F30" i="48" s="1"/>
  <c r="F31" i="48" s="1"/>
  <c r="E27" i="49"/>
  <c r="E30" i="48" s="1"/>
  <c r="E31" i="48" s="1"/>
  <c r="D27" i="49"/>
  <c r="D30" i="48" s="1"/>
  <c r="D31" i="48" s="1"/>
  <c r="C27" i="49"/>
  <c r="O27" i="49" s="1"/>
  <c r="B27" i="49"/>
  <c r="O26" i="49"/>
  <c r="O25" i="49"/>
  <c r="O24" i="49"/>
  <c r="O23" i="49"/>
  <c r="O22" i="49"/>
  <c r="O21" i="49"/>
  <c r="O20" i="49"/>
  <c r="O19" i="49"/>
  <c r="O18" i="49"/>
  <c r="O17" i="49"/>
  <c r="O16" i="49"/>
  <c r="O15" i="49"/>
  <c r="O14" i="49"/>
  <c r="O13" i="49"/>
  <c r="O12" i="49"/>
  <c r="O11" i="49"/>
  <c r="O10" i="49"/>
  <c r="O9" i="49"/>
  <c r="O8" i="49"/>
  <c r="O7" i="49"/>
  <c r="C31" i="48"/>
  <c r="K26" i="47"/>
  <c r="J24" i="47"/>
  <c r="D23" i="47"/>
  <c r="L21" i="47"/>
  <c r="J19" i="47"/>
  <c r="N18" i="47"/>
  <c r="M16" i="47"/>
  <c r="K15" i="47"/>
  <c r="M14" i="47"/>
  <c r="K11" i="47"/>
  <c r="M10" i="47"/>
  <c r="K9" i="47"/>
  <c r="M8" i="47"/>
  <c r="K7" i="47"/>
  <c r="B24" i="46"/>
  <c r="N28" i="45"/>
  <c r="M28" i="45"/>
  <c r="L28" i="45"/>
  <c r="K28" i="45"/>
  <c r="J28" i="45"/>
  <c r="I28" i="45"/>
  <c r="H28" i="45"/>
  <c r="G28" i="45"/>
  <c r="F28" i="45"/>
  <c r="E28" i="45"/>
  <c r="D28" i="45"/>
  <c r="C28" i="45"/>
  <c r="B27" i="45"/>
  <c r="O26" i="45"/>
  <c r="O25" i="45"/>
  <c r="O24" i="45"/>
  <c r="O23" i="45"/>
  <c r="O22" i="45"/>
  <c r="O21" i="45"/>
  <c r="O20" i="45"/>
  <c r="O19" i="45"/>
  <c r="O18" i="45"/>
  <c r="O17" i="45"/>
  <c r="O16" i="45"/>
  <c r="O15" i="45"/>
  <c r="O14" i="45"/>
  <c r="O13" i="45"/>
  <c r="O12" i="45"/>
  <c r="O11" i="45"/>
  <c r="O10" i="45"/>
  <c r="O9" i="45"/>
  <c r="O8" i="45"/>
  <c r="N28" i="44"/>
  <c r="M28" i="44"/>
  <c r="L28" i="44"/>
  <c r="K28" i="44"/>
  <c r="J28" i="44"/>
  <c r="I28" i="44"/>
  <c r="H28" i="44"/>
  <c r="G28" i="44"/>
  <c r="F28" i="44"/>
  <c r="E28" i="44"/>
  <c r="D28" i="44"/>
  <c r="C28" i="44"/>
  <c r="B27" i="44"/>
  <c r="N23" i="43"/>
  <c r="L23" i="43"/>
  <c r="K23" i="43"/>
  <c r="J23" i="43"/>
  <c r="I23" i="43"/>
  <c r="H23" i="43"/>
  <c r="F23" i="43"/>
  <c r="E23" i="43"/>
  <c r="D23" i="43"/>
  <c r="C23" i="43"/>
  <c r="N22" i="43"/>
  <c r="L22" i="43"/>
  <c r="K22" i="43"/>
  <c r="J22" i="43"/>
  <c r="I22" i="43"/>
  <c r="H22" i="43"/>
  <c r="G22" i="43"/>
  <c r="F22" i="43"/>
  <c r="E22" i="43"/>
  <c r="D22" i="43"/>
  <c r="C22" i="43"/>
  <c r="N21" i="43"/>
  <c r="M21" i="43"/>
  <c r="L21" i="43"/>
  <c r="K21" i="43"/>
  <c r="J21" i="43"/>
  <c r="H21" i="43"/>
  <c r="G21" i="43"/>
  <c r="F21" i="43"/>
  <c r="E21" i="43"/>
  <c r="D21" i="43"/>
  <c r="C21" i="43"/>
  <c r="N20" i="43"/>
  <c r="M20" i="43"/>
  <c r="L20" i="43"/>
  <c r="K20" i="43"/>
  <c r="J20" i="43"/>
  <c r="I20" i="43"/>
  <c r="H20" i="43"/>
  <c r="G20" i="43"/>
  <c r="F20" i="43"/>
  <c r="D20" i="43"/>
  <c r="C20" i="43"/>
  <c r="N19" i="43"/>
  <c r="M19" i="43"/>
  <c r="L19" i="43"/>
  <c r="J19" i="43"/>
  <c r="I19" i="43"/>
  <c r="H19" i="43"/>
  <c r="G19" i="43"/>
  <c r="F19" i="43"/>
  <c r="D19" i="43"/>
  <c r="C19" i="43"/>
  <c r="N18" i="43"/>
  <c r="M18" i="43"/>
  <c r="L18" i="43"/>
  <c r="J18" i="43"/>
  <c r="I18" i="43"/>
  <c r="H18" i="43"/>
  <c r="G18" i="43"/>
  <c r="F18" i="43"/>
  <c r="D18" i="43"/>
  <c r="C18" i="43"/>
  <c r="N17" i="43"/>
  <c r="M17" i="43"/>
  <c r="L17" i="43"/>
  <c r="K17" i="43"/>
  <c r="J17" i="43"/>
  <c r="I17" i="43"/>
  <c r="H17" i="43"/>
  <c r="G17" i="43"/>
  <c r="F17" i="43"/>
  <c r="E17" i="43"/>
  <c r="D17" i="43"/>
  <c r="C17" i="43"/>
  <c r="N16" i="43"/>
  <c r="L16" i="43"/>
  <c r="K16" i="43"/>
  <c r="J16" i="43"/>
  <c r="I16" i="43"/>
  <c r="H16" i="43"/>
  <c r="G16" i="43"/>
  <c r="F16" i="43"/>
  <c r="E16" i="43"/>
  <c r="D16" i="43"/>
  <c r="C16" i="43"/>
  <c r="N15" i="43"/>
  <c r="M15" i="43"/>
  <c r="L15" i="43"/>
  <c r="K15" i="43"/>
  <c r="J15" i="43"/>
  <c r="H15" i="43"/>
  <c r="G15" i="43"/>
  <c r="F15" i="43"/>
  <c r="E15" i="43"/>
  <c r="D15" i="43"/>
  <c r="C15" i="43"/>
  <c r="N14" i="43"/>
  <c r="M14" i="43"/>
  <c r="L14" i="43"/>
  <c r="K14" i="43"/>
  <c r="J14" i="43"/>
  <c r="I14" i="43"/>
  <c r="H14" i="43"/>
  <c r="G14" i="43"/>
  <c r="F14" i="43"/>
  <c r="D14" i="43"/>
  <c r="C14" i="43"/>
  <c r="N13" i="43"/>
  <c r="M13" i="43"/>
  <c r="L13" i="43"/>
  <c r="K13" i="43"/>
  <c r="J13" i="43"/>
  <c r="I13" i="43"/>
  <c r="H13" i="43"/>
  <c r="G13" i="43"/>
  <c r="F13" i="43"/>
  <c r="E13" i="43"/>
  <c r="D13" i="43"/>
  <c r="C13" i="43"/>
  <c r="N12" i="43"/>
  <c r="L12" i="43"/>
  <c r="K12" i="43"/>
  <c r="J12" i="43"/>
  <c r="I12" i="43"/>
  <c r="H12" i="43"/>
  <c r="G12" i="43"/>
  <c r="F12" i="43"/>
  <c r="E12" i="43"/>
  <c r="D12" i="43"/>
  <c r="N11" i="43"/>
  <c r="M11" i="43"/>
  <c r="L11" i="43"/>
  <c r="K11" i="43"/>
  <c r="J11" i="43"/>
  <c r="H11" i="43"/>
  <c r="G11" i="43"/>
  <c r="F11" i="43"/>
  <c r="E11" i="43"/>
  <c r="D11" i="43"/>
  <c r="C11" i="43"/>
  <c r="N10" i="43"/>
  <c r="M10" i="43"/>
  <c r="L10" i="43"/>
  <c r="K10" i="43"/>
  <c r="J10" i="43"/>
  <c r="I10" i="43"/>
  <c r="H10" i="43"/>
  <c r="G10" i="43"/>
  <c r="F10" i="43"/>
  <c r="D10" i="43"/>
  <c r="C10" i="43"/>
  <c r="N9" i="43"/>
  <c r="M9" i="43"/>
  <c r="L9" i="43"/>
  <c r="K9" i="43"/>
  <c r="J9" i="43"/>
  <c r="I9" i="43"/>
  <c r="H9" i="43"/>
  <c r="G9" i="43"/>
  <c r="F9" i="43"/>
  <c r="E9" i="43"/>
  <c r="D9" i="43"/>
  <c r="C9" i="43"/>
  <c r="N8" i="43"/>
  <c r="L8" i="43"/>
  <c r="K8" i="43"/>
  <c r="J8" i="43"/>
  <c r="I8" i="43"/>
  <c r="H8" i="43"/>
  <c r="G8" i="43"/>
  <c r="F8" i="43"/>
  <c r="E8" i="43"/>
  <c r="D8" i="43"/>
  <c r="C8" i="43"/>
  <c r="N7" i="43"/>
  <c r="M7" i="43"/>
  <c r="L7" i="43"/>
  <c r="K7" i="43"/>
  <c r="J7" i="43"/>
  <c r="H7" i="43"/>
  <c r="G7" i="43"/>
  <c r="F7" i="43"/>
  <c r="E7" i="43"/>
  <c r="D7" i="43"/>
  <c r="C7" i="43"/>
  <c r="N6" i="43"/>
  <c r="M6" i="43"/>
  <c r="L6" i="43"/>
  <c r="K6" i="43"/>
  <c r="J6" i="43"/>
  <c r="I6" i="43"/>
  <c r="H6" i="43"/>
  <c r="G6" i="43"/>
  <c r="F6" i="43"/>
  <c r="D6" i="43"/>
  <c r="C6" i="43"/>
  <c r="N5" i="43"/>
  <c r="M5" i="43"/>
  <c r="K5" i="43"/>
  <c r="J5" i="43"/>
  <c r="I5" i="43"/>
  <c r="G5" i="43"/>
  <c r="E5" i="43"/>
  <c r="C5" i="43"/>
  <c r="N4" i="43"/>
  <c r="L4" i="43"/>
  <c r="K4" i="43"/>
  <c r="J4" i="43"/>
  <c r="I4" i="43"/>
  <c r="H4" i="43"/>
  <c r="G4" i="43"/>
  <c r="F4" i="43"/>
  <c r="E4" i="43"/>
  <c r="C4" i="43"/>
  <c r="N25" i="43"/>
  <c r="M25" i="43"/>
  <c r="L25" i="43"/>
  <c r="K25" i="43"/>
  <c r="J25" i="43"/>
  <c r="I25" i="43"/>
  <c r="H25" i="43"/>
  <c r="G25" i="43"/>
  <c r="F25" i="43"/>
  <c r="E25" i="43"/>
  <c r="D25" i="43"/>
  <c r="C25" i="43"/>
  <c r="B24" i="43"/>
  <c r="M23" i="43"/>
  <c r="G23" i="43"/>
  <c r="M22" i="43"/>
  <c r="I21" i="43"/>
  <c r="E20" i="43"/>
  <c r="K19" i="43"/>
  <c r="E19" i="43"/>
  <c r="K18" i="43"/>
  <c r="E18" i="43"/>
  <c r="M16" i="43"/>
  <c r="I15" i="43"/>
  <c r="E14" i="43"/>
  <c r="M12" i="43"/>
  <c r="I11" i="43"/>
  <c r="E10" i="43"/>
  <c r="M8" i="43"/>
  <c r="I7" i="43"/>
  <c r="E6" i="43"/>
  <c r="M4" i="43"/>
  <c r="K31" i="42"/>
  <c r="G31" i="42"/>
  <c r="C31" i="42"/>
  <c r="O30" i="42"/>
  <c r="N31" i="42"/>
  <c r="M31" i="42"/>
  <c r="L31" i="42"/>
  <c r="J31" i="42"/>
  <c r="I31" i="42"/>
  <c r="H31" i="42"/>
  <c r="F31" i="42"/>
  <c r="E31" i="42"/>
  <c r="D31" i="42"/>
  <c r="B27" i="42"/>
  <c r="O26" i="42"/>
  <c r="O25" i="42"/>
  <c r="O24" i="42"/>
  <c r="O23" i="42"/>
  <c r="O22" i="42"/>
  <c r="O21" i="42"/>
  <c r="O20" i="42"/>
  <c r="O19" i="42"/>
  <c r="O18" i="42"/>
  <c r="O17" i="42"/>
  <c r="O16" i="42"/>
  <c r="O15" i="42"/>
  <c r="O14" i="42"/>
  <c r="O13" i="42"/>
  <c r="O12" i="42"/>
  <c r="O11" i="42"/>
  <c r="O10" i="42"/>
  <c r="O9" i="42"/>
  <c r="O8" i="42"/>
  <c r="O7" i="42"/>
  <c r="B24" i="40"/>
  <c r="L32" i="38"/>
  <c r="K32" i="38"/>
  <c r="D32" i="38"/>
  <c r="C32" i="38"/>
  <c r="O33" i="39"/>
  <c r="N27" i="39"/>
  <c r="N32" i="38" s="1"/>
  <c r="M27" i="39"/>
  <c r="M32" i="38" s="1"/>
  <c r="L27" i="39"/>
  <c r="K27" i="39"/>
  <c r="J27" i="39"/>
  <c r="J32" i="38" s="1"/>
  <c r="I27" i="39"/>
  <c r="I32" i="38" s="1"/>
  <c r="H27" i="39"/>
  <c r="G27" i="39"/>
  <c r="F27" i="39"/>
  <c r="F32" i="38" s="1"/>
  <c r="E27" i="39"/>
  <c r="E32" i="38" s="1"/>
  <c r="D27" i="39"/>
  <c r="C27" i="39"/>
  <c r="B27" i="39"/>
  <c r="O26" i="39"/>
  <c r="O25" i="39"/>
  <c r="O24" i="39"/>
  <c r="O23" i="39"/>
  <c r="O22" i="39"/>
  <c r="O21" i="39"/>
  <c r="O20" i="39"/>
  <c r="O19" i="39"/>
  <c r="O18" i="39"/>
  <c r="O17" i="39"/>
  <c r="O16" i="39"/>
  <c r="O15" i="39"/>
  <c r="O14" i="39"/>
  <c r="O13" i="39"/>
  <c r="O12" i="39"/>
  <c r="O11" i="39"/>
  <c r="O10" i="39"/>
  <c r="O9" i="39"/>
  <c r="O8" i="39"/>
  <c r="O7" i="39"/>
  <c r="H32" i="38"/>
  <c r="G32" i="38"/>
  <c r="B24" i="37"/>
  <c r="N31" i="36"/>
  <c r="N27" i="35" s="1"/>
  <c r="J31" i="36"/>
  <c r="J27" i="35" s="1"/>
  <c r="H31" i="36"/>
  <c r="H27" i="35" s="1"/>
  <c r="O27" i="36"/>
  <c r="B27" i="36"/>
  <c r="O26" i="36"/>
  <c r="O25" i="36"/>
  <c r="O24" i="36"/>
  <c r="O23" i="36"/>
  <c r="O22" i="36"/>
  <c r="O21" i="36"/>
  <c r="O20" i="36"/>
  <c r="O19" i="36"/>
  <c r="O18" i="36"/>
  <c r="O17" i="36"/>
  <c r="O16" i="36"/>
  <c r="O15" i="36"/>
  <c r="O14" i="36"/>
  <c r="O13" i="36"/>
  <c r="O12" i="36"/>
  <c r="O11" i="36"/>
  <c r="O10" i="36"/>
  <c r="O9" i="36"/>
  <c r="O8" i="36"/>
  <c r="O7" i="36"/>
  <c r="B24" i="34"/>
  <c r="O32" i="32"/>
  <c r="N26" i="32"/>
  <c r="M26" i="32"/>
  <c r="L26" i="32"/>
  <c r="K26" i="32"/>
  <c r="J26" i="32"/>
  <c r="I26" i="32"/>
  <c r="H26" i="32"/>
  <c r="G26" i="32"/>
  <c r="F26" i="32"/>
  <c r="E26" i="32"/>
  <c r="D26" i="32"/>
  <c r="C26" i="32"/>
  <c r="N25" i="32"/>
  <c r="M25" i="32"/>
  <c r="L25" i="32"/>
  <c r="K25" i="32"/>
  <c r="J25" i="32"/>
  <c r="I25" i="32"/>
  <c r="H25" i="32"/>
  <c r="G25" i="32"/>
  <c r="F25" i="32"/>
  <c r="E25" i="32"/>
  <c r="D25" i="32"/>
  <c r="C25" i="32"/>
  <c r="N24" i="32"/>
  <c r="M24" i="32"/>
  <c r="L24" i="32"/>
  <c r="K24" i="32"/>
  <c r="J24" i="32"/>
  <c r="I24" i="32"/>
  <c r="H24" i="32"/>
  <c r="G24" i="32"/>
  <c r="F24" i="32"/>
  <c r="E24" i="32"/>
  <c r="D24" i="32"/>
  <c r="C24" i="32"/>
  <c r="N23" i="32"/>
  <c r="M23" i="32"/>
  <c r="L23" i="32"/>
  <c r="K23" i="32"/>
  <c r="J23" i="32"/>
  <c r="I23" i="32"/>
  <c r="H23" i="32"/>
  <c r="G23" i="32"/>
  <c r="F23" i="32"/>
  <c r="E23" i="32"/>
  <c r="D23" i="32"/>
  <c r="C23" i="32"/>
  <c r="N22" i="32"/>
  <c r="M22" i="32"/>
  <c r="L22" i="32"/>
  <c r="K22" i="32"/>
  <c r="J22" i="32"/>
  <c r="I22" i="32"/>
  <c r="H22" i="32"/>
  <c r="G22" i="32"/>
  <c r="F22" i="32"/>
  <c r="E22" i="32"/>
  <c r="D22" i="32"/>
  <c r="C22" i="32"/>
  <c r="N21" i="32"/>
  <c r="M21" i="32"/>
  <c r="L21" i="32"/>
  <c r="K21" i="32"/>
  <c r="J21" i="32"/>
  <c r="I21" i="32"/>
  <c r="H21" i="32"/>
  <c r="G21" i="32"/>
  <c r="F21" i="32"/>
  <c r="E21" i="32"/>
  <c r="D21" i="32"/>
  <c r="C21" i="32"/>
  <c r="O21" i="32" s="1"/>
  <c r="N20" i="32"/>
  <c r="M20" i="32"/>
  <c r="L20" i="32"/>
  <c r="K20" i="32"/>
  <c r="J20" i="32"/>
  <c r="I20" i="32"/>
  <c r="H20" i="32"/>
  <c r="G20" i="32"/>
  <c r="F20" i="32"/>
  <c r="E20" i="32"/>
  <c r="D20" i="32"/>
  <c r="C20" i="32"/>
  <c r="O20" i="32" s="1"/>
  <c r="N19" i="32"/>
  <c r="M19" i="32"/>
  <c r="L19" i="32"/>
  <c r="K19" i="32"/>
  <c r="J19" i="32"/>
  <c r="I19" i="32"/>
  <c r="H19" i="32"/>
  <c r="G19" i="32"/>
  <c r="F19" i="32"/>
  <c r="E19" i="32"/>
  <c r="D19" i="32"/>
  <c r="C19" i="32"/>
  <c r="O19" i="32" s="1"/>
  <c r="N18" i="32"/>
  <c r="M18" i="32"/>
  <c r="L18" i="32"/>
  <c r="K18" i="32"/>
  <c r="J18" i="32"/>
  <c r="I18" i="32"/>
  <c r="H18" i="32"/>
  <c r="G18" i="32"/>
  <c r="F18" i="32"/>
  <c r="E18" i="32"/>
  <c r="D18" i="32"/>
  <c r="C18" i="32"/>
  <c r="O18" i="32" s="1"/>
  <c r="N17" i="32"/>
  <c r="M17" i="32"/>
  <c r="L17" i="32"/>
  <c r="K17" i="32"/>
  <c r="J17" i="32"/>
  <c r="I17" i="32"/>
  <c r="H17" i="32"/>
  <c r="G17" i="32"/>
  <c r="F17" i="32"/>
  <c r="E17" i="32"/>
  <c r="D17" i="32"/>
  <c r="C17" i="32"/>
  <c r="O17" i="32" s="1"/>
  <c r="N16" i="32"/>
  <c r="M16" i="32"/>
  <c r="L16" i="32"/>
  <c r="K16" i="32"/>
  <c r="J16" i="32"/>
  <c r="I16" i="32"/>
  <c r="H16" i="32"/>
  <c r="G16" i="32"/>
  <c r="F16" i="32"/>
  <c r="E16" i="32"/>
  <c r="D16" i="32"/>
  <c r="C16" i="32"/>
  <c r="O16" i="32" s="1"/>
  <c r="N15" i="32"/>
  <c r="M15" i="32"/>
  <c r="L15" i="32"/>
  <c r="K15" i="32"/>
  <c r="J15" i="32"/>
  <c r="I15" i="32"/>
  <c r="H15" i="32"/>
  <c r="G15" i="32"/>
  <c r="F15" i="32"/>
  <c r="E15" i="32"/>
  <c r="D15" i="32"/>
  <c r="C15" i="32"/>
  <c r="O15" i="32" s="1"/>
  <c r="N14" i="32"/>
  <c r="M14" i="32"/>
  <c r="L14" i="32"/>
  <c r="K14" i="32"/>
  <c r="J14" i="32"/>
  <c r="I14" i="32"/>
  <c r="H14" i="32"/>
  <c r="G14" i="32"/>
  <c r="F14" i="32"/>
  <c r="E14" i="32"/>
  <c r="D14" i="32"/>
  <c r="C14" i="32"/>
  <c r="O14" i="32" s="1"/>
  <c r="N13" i="32"/>
  <c r="M13" i="32"/>
  <c r="L13" i="32"/>
  <c r="K13" i="32"/>
  <c r="J13" i="32"/>
  <c r="I13" i="32"/>
  <c r="H13" i="32"/>
  <c r="G13" i="32"/>
  <c r="F13" i="32"/>
  <c r="E13" i="32"/>
  <c r="D13" i="32"/>
  <c r="C13" i="32"/>
  <c r="O13" i="32" s="1"/>
  <c r="N12" i="32"/>
  <c r="M12" i="32"/>
  <c r="L12" i="32"/>
  <c r="K12" i="32"/>
  <c r="J12" i="32"/>
  <c r="I12" i="32"/>
  <c r="H12" i="32"/>
  <c r="G12" i="32"/>
  <c r="F12" i="32"/>
  <c r="E12" i="32"/>
  <c r="D12" i="32"/>
  <c r="C12" i="32"/>
  <c r="O12" i="32" s="1"/>
  <c r="N11" i="32"/>
  <c r="M11" i="32"/>
  <c r="L11" i="32"/>
  <c r="K11" i="32"/>
  <c r="J11" i="32"/>
  <c r="I11" i="32"/>
  <c r="H11" i="32"/>
  <c r="G11" i="32"/>
  <c r="F11" i="32"/>
  <c r="E11" i="32"/>
  <c r="D11" i="32"/>
  <c r="C11" i="32"/>
  <c r="O11" i="32" s="1"/>
  <c r="N10" i="32"/>
  <c r="M10" i="32"/>
  <c r="L10" i="32"/>
  <c r="K10" i="32"/>
  <c r="J10" i="32"/>
  <c r="I10" i="32"/>
  <c r="H10" i="32"/>
  <c r="G10" i="32"/>
  <c r="F10" i="32"/>
  <c r="E10" i="32"/>
  <c r="D10" i="32"/>
  <c r="C10" i="32"/>
  <c r="O10" i="32" s="1"/>
  <c r="N9" i="32"/>
  <c r="M9" i="32"/>
  <c r="L9" i="32"/>
  <c r="K9" i="32"/>
  <c r="J9" i="32"/>
  <c r="I9" i="32"/>
  <c r="H9" i="32"/>
  <c r="G9" i="32"/>
  <c r="F9" i="32"/>
  <c r="E9" i="32"/>
  <c r="D9" i="32"/>
  <c r="C9" i="32"/>
  <c r="O9" i="32" s="1"/>
  <c r="N8" i="32"/>
  <c r="M8" i="32"/>
  <c r="L8" i="32"/>
  <c r="K8" i="32"/>
  <c r="J8" i="32"/>
  <c r="I8" i="32"/>
  <c r="H8" i="32"/>
  <c r="G8" i="32"/>
  <c r="F8" i="32"/>
  <c r="E8" i="32"/>
  <c r="D8" i="32"/>
  <c r="C8" i="32"/>
  <c r="O8" i="32" s="1"/>
  <c r="B7" i="32"/>
  <c r="M7" i="32" s="1"/>
  <c r="M27" i="32" s="1"/>
  <c r="F29" i="45" l="1"/>
  <c r="J29" i="45"/>
  <c r="N29" i="45"/>
  <c r="O22" i="32"/>
  <c r="O23" i="32"/>
  <c r="O24" i="32"/>
  <c r="O25" i="32"/>
  <c r="O26" i="32"/>
  <c r="E31" i="36"/>
  <c r="E27" i="35" s="1"/>
  <c r="I31" i="36"/>
  <c r="I27" i="35" s="1"/>
  <c r="M31" i="36"/>
  <c r="M27" i="35" s="1"/>
  <c r="H29" i="45"/>
  <c r="L29" i="45"/>
  <c r="E32" i="48"/>
  <c r="E33" i="48"/>
  <c r="I33" i="48"/>
  <c r="I32" i="48"/>
  <c r="M32" i="48"/>
  <c r="M33" i="48"/>
  <c r="F31" i="36"/>
  <c r="F27" i="35" s="1"/>
  <c r="E29" i="45"/>
  <c r="I29" i="45"/>
  <c r="M29" i="45"/>
  <c r="F32" i="48"/>
  <c r="F33" i="48"/>
  <c r="J32" i="48"/>
  <c r="J33" i="48"/>
  <c r="N32" i="48"/>
  <c r="N33" i="48"/>
  <c r="G32" i="48"/>
  <c r="G33" i="48"/>
  <c r="K33" i="48"/>
  <c r="K32" i="48"/>
  <c r="D31" i="36"/>
  <c r="D27" i="35" s="1"/>
  <c r="L31" i="36"/>
  <c r="L27" i="35" s="1"/>
  <c r="G29" i="45"/>
  <c r="K29" i="45"/>
  <c r="D32" i="48"/>
  <c r="D33" i="48"/>
  <c r="H32" i="48"/>
  <c r="H33" i="48"/>
  <c r="L32" i="48"/>
  <c r="L33" i="48"/>
  <c r="F29" i="44"/>
  <c r="F5" i="43"/>
  <c r="F24" i="43" s="1"/>
  <c r="F26" i="43" s="1"/>
  <c r="O9" i="44"/>
  <c r="O11" i="44"/>
  <c r="O13" i="44"/>
  <c r="O14" i="44"/>
  <c r="O15" i="44"/>
  <c r="O17" i="44"/>
  <c r="O21" i="44"/>
  <c r="O22" i="44"/>
  <c r="O23" i="44"/>
  <c r="O25" i="44"/>
  <c r="D29" i="44"/>
  <c r="H29" i="44"/>
  <c r="L29" i="44"/>
  <c r="D5" i="43"/>
  <c r="H5" i="43"/>
  <c r="H24" i="43" s="1"/>
  <c r="H26" i="43" s="1"/>
  <c r="L5" i="43"/>
  <c r="L24" i="43" s="1"/>
  <c r="L26" i="43" s="1"/>
  <c r="O18" i="43"/>
  <c r="O19" i="43"/>
  <c r="O22" i="43"/>
  <c r="O14" i="43"/>
  <c r="O20" i="43"/>
  <c r="O6" i="43"/>
  <c r="O8" i="43"/>
  <c r="O10" i="43"/>
  <c r="O11" i="43"/>
  <c r="C29" i="45"/>
  <c r="G7" i="32"/>
  <c r="G27" i="32" s="1"/>
  <c r="K7" i="32"/>
  <c r="K27" i="32" s="1"/>
  <c r="G16" i="47"/>
  <c r="J18" i="47"/>
  <c r="C7" i="32"/>
  <c r="C27" i="32" s="1"/>
  <c r="I15" i="47"/>
  <c r="E19" i="47"/>
  <c r="B27" i="32"/>
  <c r="E7" i="47"/>
  <c r="E9" i="47"/>
  <c r="E11" i="47"/>
  <c r="E15" i="47"/>
  <c r="H18" i="47"/>
  <c r="L19" i="47"/>
  <c r="F21" i="47"/>
  <c r="I23" i="47"/>
  <c r="K24" i="47"/>
  <c r="D26" i="47"/>
  <c r="I7" i="47"/>
  <c r="G8" i="47"/>
  <c r="I9" i="47"/>
  <c r="G10" i="47"/>
  <c r="I11" i="47"/>
  <c r="G14" i="47"/>
  <c r="I21" i="47"/>
  <c r="N23" i="47"/>
  <c r="J26" i="47"/>
  <c r="M7" i="47"/>
  <c r="K8" i="47"/>
  <c r="M9" i="47"/>
  <c r="K10" i="47"/>
  <c r="M11" i="47"/>
  <c r="K14" i="47"/>
  <c r="M15" i="47"/>
  <c r="K16" i="47"/>
  <c r="D18" i="47"/>
  <c r="K18" i="47"/>
  <c r="F19" i="47"/>
  <c r="D21" i="47"/>
  <c r="J21" i="47"/>
  <c r="F18" i="47"/>
  <c r="E21" i="47"/>
  <c r="N21" i="47"/>
  <c r="F24" i="47"/>
  <c r="N24" i="43"/>
  <c r="N26" i="43" s="1"/>
  <c r="F7" i="32"/>
  <c r="F27" i="32" s="1"/>
  <c r="J7" i="32"/>
  <c r="J27" i="32" s="1"/>
  <c r="N7" i="32"/>
  <c r="N27" i="32" s="1"/>
  <c r="C29" i="44"/>
  <c r="G29" i="44"/>
  <c r="K29" i="44"/>
  <c r="O7" i="44"/>
  <c r="J29" i="44"/>
  <c r="K24" i="43"/>
  <c r="K26" i="43" s="1"/>
  <c r="J24" i="43"/>
  <c r="J26" i="43" s="1"/>
  <c r="N29" i="44"/>
  <c r="H7" i="32"/>
  <c r="H27" i="32" s="1"/>
  <c r="C12" i="43"/>
  <c r="O12" i="43" s="1"/>
  <c r="O19" i="44"/>
  <c r="G24" i="43"/>
  <c r="G26" i="43" s="1"/>
  <c r="D7" i="32"/>
  <c r="D27" i="32" s="1"/>
  <c r="L7" i="32"/>
  <c r="L27" i="32" s="1"/>
  <c r="E7" i="32"/>
  <c r="E27" i="32" s="1"/>
  <c r="I7" i="32"/>
  <c r="I27" i="32" s="1"/>
  <c r="C31" i="36"/>
  <c r="C27" i="35" s="1"/>
  <c r="G31" i="36"/>
  <c r="G27" i="35" s="1"/>
  <c r="K31" i="36"/>
  <c r="K27" i="35" s="1"/>
  <c r="O30" i="36"/>
  <c r="O31" i="36" s="1"/>
  <c r="O27" i="39"/>
  <c r="O32" i="38" s="1"/>
  <c r="O16" i="43"/>
  <c r="O9" i="43"/>
  <c r="O17" i="43"/>
  <c r="O12" i="44"/>
  <c r="O20" i="44"/>
  <c r="O30" i="48"/>
  <c r="O31" i="48" s="1"/>
  <c r="O27" i="42"/>
  <c r="O31" i="42" s="1"/>
  <c r="O13" i="43"/>
  <c r="O21" i="43"/>
  <c r="O25" i="43"/>
  <c r="O8" i="44"/>
  <c r="O16" i="44"/>
  <c r="O24" i="44"/>
  <c r="O28" i="44"/>
  <c r="E24" i="43"/>
  <c r="E26" i="43" s="1"/>
  <c r="I24" i="43"/>
  <c r="I26" i="43" s="1"/>
  <c r="M24" i="43"/>
  <c r="M26" i="43" s="1"/>
  <c r="O7" i="43"/>
  <c r="O15" i="43"/>
  <c r="O23" i="43"/>
  <c r="E29" i="44"/>
  <c r="I29" i="44"/>
  <c r="M29" i="44"/>
  <c r="O10" i="44"/>
  <c r="O18" i="44"/>
  <c r="O26" i="44"/>
  <c r="O28" i="45"/>
  <c r="D7" i="47"/>
  <c r="H7" i="47"/>
  <c r="L7" i="47"/>
  <c r="F8" i="47"/>
  <c r="J8" i="47"/>
  <c r="N8" i="47"/>
  <c r="D9" i="47"/>
  <c r="H9" i="47"/>
  <c r="L9" i="47"/>
  <c r="F10" i="47"/>
  <c r="J10" i="47"/>
  <c r="N10" i="47"/>
  <c r="D11" i="47"/>
  <c r="H11" i="47"/>
  <c r="L11" i="47"/>
  <c r="F14" i="47"/>
  <c r="J14" i="47"/>
  <c r="N14" i="47"/>
  <c r="D15" i="47"/>
  <c r="H15" i="47"/>
  <c r="L15" i="47"/>
  <c r="F16" i="47"/>
  <c r="J16" i="47"/>
  <c r="N16" i="47"/>
  <c r="K23" i="47"/>
  <c r="G23" i="47"/>
  <c r="H23" i="47"/>
  <c r="M23" i="47"/>
  <c r="D24" i="47"/>
  <c r="H26" i="47"/>
  <c r="N26" i="47"/>
  <c r="C33" i="48"/>
  <c r="C32" i="48"/>
  <c r="F7" i="47"/>
  <c r="J7" i="47"/>
  <c r="N7" i="47"/>
  <c r="D8" i="47"/>
  <c r="H8" i="47"/>
  <c r="L8" i="47"/>
  <c r="F9" i="47"/>
  <c r="J9" i="47"/>
  <c r="N9" i="47"/>
  <c r="D10" i="47"/>
  <c r="H10" i="47"/>
  <c r="L10" i="47"/>
  <c r="F11" i="47"/>
  <c r="J11" i="47"/>
  <c r="N11" i="47"/>
  <c r="D14" i="47"/>
  <c r="H14" i="47"/>
  <c r="L14" i="47"/>
  <c r="F15" i="47"/>
  <c r="J15" i="47"/>
  <c r="N15" i="47"/>
  <c r="D16" i="47"/>
  <c r="H16" i="47"/>
  <c r="L16" i="47"/>
  <c r="K19" i="47"/>
  <c r="G19" i="47"/>
  <c r="H19" i="47"/>
  <c r="M19" i="47"/>
  <c r="E23" i="47"/>
  <c r="J23" i="47"/>
  <c r="M24" i="47"/>
  <c r="I24" i="47"/>
  <c r="E24" i="47"/>
  <c r="G24" i="47"/>
  <c r="L24" i="47"/>
  <c r="F26" i="47"/>
  <c r="O30" i="51"/>
  <c r="C7" i="47"/>
  <c r="G7" i="47"/>
  <c r="E8" i="47"/>
  <c r="I8" i="47"/>
  <c r="G9" i="47"/>
  <c r="E10" i="47"/>
  <c r="I10" i="47"/>
  <c r="G11" i="47"/>
  <c r="E14" i="47"/>
  <c r="I14" i="47"/>
  <c r="G15" i="47"/>
  <c r="E16" i="47"/>
  <c r="I16" i="47"/>
  <c r="M18" i="47"/>
  <c r="I18" i="47"/>
  <c r="E18" i="47"/>
  <c r="G18" i="47"/>
  <c r="L18" i="47"/>
  <c r="D19" i="47"/>
  <c r="I19" i="47"/>
  <c r="N19" i="47"/>
  <c r="K21" i="47"/>
  <c r="G21" i="47"/>
  <c r="H21" i="47"/>
  <c r="M21" i="47"/>
  <c r="F23" i="47"/>
  <c r="L23" i="47"/>
  <c r="H24" i="47"/>
  <c r="N24" i="47"/>
  <c r="M26" i="47"/>
  <c r="I26" i="47"/>
  <c r="E26" i="47"/>
  <c r="G26" i="47"/>
  <c r="L26" i="47"/>
  <c r="O31" i="51"/>
  <c r="O27" i="52"/>
  <c r="O33" i="45" l="1"/>
  <c r="O5" i="43"/>
  <c r="O16" i="47"/>
  <c r="O8" i="47"/>
  <c r="O27" i="32"/>
  <c r="O34" i="32" s="1"/>
  <c r="O26" i="47"/>
  <c r="C24" i="43"/>
  <c r="C26" i="43" s="1"/>
  <c r="O19" i="47"/>
  <c r="O18" i="47"/>
  <c r="O15" i="47"/>
  <c r="O11" i="47"/>
  <c r="O9" i="47"/>
  <c r="O7" i="47"/>
  <c r="O14" i="47"/>
  <c r="O10" i="47"/>
  <c r="O24" i="47"/>
  <c r="O32" i="51"/>
  <c r="O33" i="48"/>
  <c r="O32" i="48"/>
  <c r="O7" i="32"/>
  <c r="O27" i="44"/>
  <c r="O29" i="44" s="1"/>
  <c r="O21" i="47"/>
  <c r="O23" i="47"/>
  <c r="O24" i="33"/>
  <c r="O27" i="35"/>
  <c r="L40" i="15"/>
  <c r="K41" i="15" l="1"/>
  <c r="K44" i="15" l="1"/>
  <c r="K46" i="15" s="1"/>
  <c r="K28" i="22" l="1"/>
  <c r="C28" i="22"/>
  <c r="K64" i="15" l="1"/>
  <c r="K66" i="15" s="1"/>
  <c r="K59" i="15"/>
  <c r="K54" i="15"/>
  <c r="K49" i="15"/>
  <c r="O43" i="15"/>
  <c r="K34" i="15"/>
  <c r="N27" i="21" l="1"/>
  <c r="N34" i="21" s="1"/>
  <c r="M27" i="21"/>
  <c r="M34" i="21" s="1"/>
  <c r="L27" i="21"/>
  <c r="L34" i="21" s="1"/>
  <c r="K27" i="21"/>
  <c r="K34" i="21" s="1"/>
  <c r="J27" i="21"/>
  <c r="J34" i="21" s="1"/>
  <c r="I27" i="21"/>
  <c r="I34" i="21" s="1"/>
  <c r="H27" i="21"/>
  <c r="H34" i="21" s="1"/>
  <c r="G27" i="21"/>
  <c r="G34" i="21" s="1"/>
  <c r="F27" i="21"/>
  <c r="F34" i="21" s="1"/>
  <c r="E27" i="21"/>
  <c r="E34" i="21" s="1"/>
  <c r="D27" i="21"/>
  <c r="D34" i="21" s="1"/>
  <c r="C27" i="21"/>
  <c r="C34" i="21" s="1"/>
  <c r="B27" i="21"/>
  <c r="O26" i="21"/>
  <c r="O25" i="21"/>
  <c r="O24" i="21"/>
  <c r="O23" i="21"/>
  <c r="O22" i="21"/>
  <c r="O21" i="21"/>
  <c r="O20" i="21"/>
  <c r="O19" i="21"/>
  <c r="O18" i="21"/>
  <c r="O17" i="21"/>
  <c r="O16" i="21"/>
  <c r="O15" i="21"/>
  <c r="O14" i="21"/>
  <c r="O13" i="21"/>
  <c r="O12" i="21"/>
  <c r="O11" i="21"/>
  <c r="O10" i="21"/>
  <c r="O9" i="21"/>
  <c r="O8" i="21"/>
  <c r="O7" i="21"/>
  <c r="O27" i="21" s="1"/>
  <c r="AB10" i="3" l="1"/>
  <c r="AB11" i="3"/>
  <c r="AB12" i="3"/>
  <c r="AB13" i="3"/>
  <c r="AB14" i="3"/>
  <c r="AB15" i="3"/>
  <c r="AB16" i="3"/>
  <c r="AB17" i="3"/>
  <c r="AB18" i="3"/>
  <c r="AB19" i="3"/>
  <c r="AB20" i="3"/>
  <c r="AB21" i="3"/>
  <c r="AB22" i="3"/>
  <c r="AB23" i="3"/>
  <c r="AB24" i="3"/>
  <c r="AB25" i="3"/>
  <c r="AB26" i="3"/>
  <c r="AB27" i="3"/>
  <c r="AB28" i="3"/>
  <c r="AB9" i="3"/>
  <c r="D28" i="8"/>
  <c r="D10" i="8" s="1"/>
  <c r="C28" i="4"/>
  <c r="C11" i="4" s="1"/>
  <c r="D29" i="20"/>
  <c r="D10" i="20" s="1"/>
  <c r="C29" i="20"/>
  <c r="I28" i="14"/>
  <c r="F28" i="14"/>
  <c r="D28" i="14"/>
  <c r="I28" i="13"/>
  <c r="F28" i="13"/>
  <c r="D28" i="13"/>
  <c r="D19" i="8" l="1"/>
  <c r="D27" i="8"/>
  <c r="D11" i="8"/>
  <c r="D23" i="8"/>
  <c r="D15" i="8"/>
  <c r="D25" i="8"/>
  <c r="D21" i="8"/>
  <c r="D17" i="8"/>
  <c r="D13" i="8"/>
  <c r="D9" i="8"/>
  <c r="D8" i="8"/>
  <c r="D24" i="8"/>
  <c r="D20" i="8"/>
  <c r="D16" i="8"/>
  <c r="D12" i="8"/>
  <c r="D26" i="8"/>
  <c r="D22" i="8"/>
  <c r="D18" i="8"/>
  <c r="D14" i="8"/>
  <c r="C18" i="4"/>
  <c r="C14" i="4"/>
  <c r="C22" i="4"/>
  <c r="C26" i="4"/>
  <c r="C10" i="4"/>
  <c r="D23" i="20"/>
  <c r="D15" i="20"/>
  <c r="D27" i="20"/>
  <c r="D11" i="20"/>
  <c r="D19" i="20"/>
  <c r="D9" i="20"/>
  <c r="D25" i="20"/>
  <c r="D21" i="20"/>
  <c r="D17" i="20"/>
  <c r="D13" i="20"/>
  <c r="D28" i="20"/>
  <c r="D24" i="20"/>
  <c r="D20" i="20"/>
  <c r="D16" i="20"/>
  <c r="D12" i="20"/>
  <c r="D26" i="20"/>
  <c r="D22" i="20"/>
  <c r="D18" i="20"/>
  <c r="D14" i="20"/>
  <c r="C25" i="4"/>
  <c r="C21" i="4"/>
  <c r="C17" i="4"/>
  <c r="C13" i="4"/>
  <c r="C9" i="4"/>
  <c r="C8" i="4"/>
  <c r="C24" i="4"/>
  <c r="C20" i="4"/>
  <c r="C16" i="4"/>
  <c r="C12" i="4"/>
  <c r="C27" i="4"/>
  <c r="C23" i="4"/>
  <c r="C19" i="4"/>
  <c r="C15" i="4"/>
  <c r="L64" i="15" l="1"/>
  <c r="M26" i="5" l="1"/>
  <c r="M23" i="5"/>
  <c r="M18" i="5"/>
  <c r="M14" i="5"/>
  <c r="M13" i="5"/>
  <c r="C87" i="19"/>
  <c r="D86" i="19"/>
  <c r="D85" i="19"/>
  <c r="D84" i="19"/>
  <c r="D83" i="19"/>
  <c r="D82" i="19"/>
  <c r="D81" i="19"/>
  <c r="D80" i="19"/>
  <c r="D79" i="19"/>
  <c r="D78" i="19"/>
  <c r="D77" i="19"/>
  <c r="D76" i="19"/>
  <c r="D75" i="19"/>
  <c r="D74" i="19"/>
  <c r="D73" i="19"/>
  <c r="D72" i="19"/>
  <c r="D71" i="19"/>
  <c r="D70" i="19"/>
  <c r="D69" i="19"/>
  <c r="D68" i="19"/>
  <c r="D67" i="19"/>
  <c r="D57" i="19"/>
  <c r="C57" i="19"/>
  <c r="I32" i="19"/>
  <c r="E29" i="19"/>
  <c r="J56" i="18"/>
  <c r="I56" i="18"/>
  <c r="G56" i="18"/>
  <c r="F56" i="18"/>
  <c r="C26" i="18"/>
  <c r="C24" i="18"/>
  <c r="C23" i="18"/>
  <c r="C22" i="18"/>
  <c r="C21" i="18"/>
  <c r="C20" i="18"/>
  <c r="C19" i="18"/>
  <c r="C18" i="18"/>
  <c r="C17" i="18"/>
  <c r="C16" i="18"/>
  <c r="C15" i="18"/>
  <c r="C14" i="18"/>
  <c r="C12" i="18"/>
  <c r="C11" i="18"/>
  <c r="C10" i="18"/>
  <c r="C9" i="18"/>
  <c r="C28" i="18"/>
  <c r="C13" i="18"/>
  <c r="C25" i="18" l="1"/>
  <c r="C27" i="18"/>
  <c r="K56" i="18"/>
  <c r="H56" i="18"/>
  <c r="D87" i="19"/>
  <c r="C29" i="18" l="1"/>
  <c r="E10" i="18" s="1"/>
  <c r="F10" i="18" s="1"/>
  <c r="E21" i="18"/>
  <c r="F21" i="18" s="1"/>
  <c r="E25" i="18"/>
  <c r="F25" i="18" s="1"/>
  <c r="E14" i="18"/>
  <c r="F14" i="18" s="1"/>
  <c r="C11" i="19"/>
  <c r="C25" i="19"/>
  <c r="C15" i="19"/>
  <c r="C23" i="19"/>
  <c r="C17" i="19"/>
  <c r="C24" i="19"/>
  <c r="C19" i="19"/>
  <c r="C13" i="19"/>
  <c r="C18" i="19"/>
  <c r="C22" i="19"/>
  <c r="C21" i="19"/>
  <c r="C12" i="19"/>
  <c r="C14" i="19"/>
  <c r="C10" i="19"/>
  <c r="C28" i="19"/>
  <c r="C27" i="19"/>
  <c r="C20" i="19"/>
  <c r="C26" i="19"/>
  <c r="E27" i="18" l="1"/>
  <c r="F27" i="18" s="1"/>
  <c r="E12" i="18"/>
  <c r="F12" i="18" s="1"/>
  <c r="E18" i="18"/>
  <c r="F18" i="18" s="1"/>
  <c r="E15" i="18"/>
  <c r="F15" i="18" s="1"/>
  <c r="E24" i="18"/>
  <c r="F24" i="18" s="1"/>
  <c r="E26" i="18"/>
  <c r="F26" i="18" s="1"/>
  <c r="E9" i="18"/>
  <c r="F9" i="18" s="1"/>
  <c r="F29" i="18" s="1"/>
  <c r="E23" i="18"/>
  <c r="F23" i="18" s="1"/>
  <c r="E22" i="18"/>
  <c r="F22" i="18" s="1"/>
  <c r="E17" i="18"/>
  <c r="F17" i="18" s="1"/>
  <c r="E11" i="18"/>
  <c r="F11" i="18" s="1"/>
  <c r="E19" i="18"/>
  <c r="F19" i="18" s="1"/>
  <c r="E13" i="18"/>
  <c r="F13" i="18" s="1"/>
  <c r="E16" i="18"/>
  <c r="F16" i="18" s="1"/>
  <c r="E20" i="18"/>
  <c r="F20" i="18" s="1"/>
  <c r="E28" i="18"/>
  <c r="F28" i="18" s="1"/>
  <c r="E29" i="18"/>
  <c r="C16" i="19"/>
  <c r="C9" i="19"/>
  <c r="C29" i="19" s="1"/>
  <c r="F27" i="5" l="1"/>
  <c r="F26" i="5"/>
  <c r="F25" i="5"/>
  <c r="F24" i="5"/>
  <c r="F23" i="5"/>
  <c r="F22" i="5"/>
  <c r="F21" i="5"/>
  <c r="F20" i="5"/>
  <c r="F19" i="5"/>
  <c r="F18" i="5"/>
  <c r="F17" i="5"/>
  <c r="F16" i="5"/>
  <c r="F15" i="5"/>
  <c r="F14" i="5"/>
  <c r="F13" i="5"/>
  <c r="F12" i="5"/>
  <c r="F11" i="5"/>
  <c r="F10" i="5"/>
  <c r="F9" i="5"/>
  <c r="F8" i="5"/>
  <c r="D9" i="4"/>
  <c r="D10" i="4"/>
  <c r="D11" i="4"/>
  <c r="D12" i="4"/>
  <c r="D13" i="4"/>
  <c r="D14" i="4"/>
  <c r="D15" i="4"/>
  <c r="D16" i="4"/>
  <c r="D17" i="4"/>
  <c r="D18" i="4"/>
  <c r="D19" i="4"/>
  <c r="D20" i="4"/>
  <c r="D21" i="4"/>
  <c r="D22" i="4"/>
  <c r="D23" i="4"/>
  <c r="D24" i="4"/>
  <c r="D25" i="4"/>
  <c r="D26" i="4"/>
  <c r="D27" i="4"/>
  <c r="D8" i="4"/>
  <c r="O111" i="15"/>
  <c r="N111" i="15"/>
  <c r="N117" i="15" s="1"/>
  <c r="L111" i="15"/>
  <c r="K111" i="15"/>
  <c r="H111" i="15"/>
  <c r="G111" i="15"/>
  <c r="E111" i="15"/>
  <c r="D111" i="15"/>
  <c r="F111" i="15" s="1"/>
  <c r="P110" i="15"/>
  <c r="M110" i="15"/>
  <c r="I110" i="15"/>
  <c r="F110" i="15"/>
  <c r="P109" i="15"/>
  <c r="M109" i="15"/>
  <c r="I109" i="15"/>
  <c r="F109" i="15"/>
  <c r="P108" i="15"/>
  <c r="M108" i="15"/>
  <c r="I108" i="15"/>
  <c r="F108" i="15"/>
  <c r="P107" i="15"/>
  <c r="M107" i="15"/>
  <c r="I107" i="15"/>
  <c r="F107" i="15"/>
  <c r="P106" i="15"/>
  <c r="M106" i="15"/>
  <c r="I106" i="15"/>
  <c r="F106" i="15"/>
  <c r="P105" i="15"/>
  <c r="M105" i="15"/>
  <c r="I105" i="15"/>
  <c r="F105" i="15"/>
  <c r="P104" i="15"/>
  <c r="M104" i="15"/>
  <c r="I104" i="15"/>
  <c r="F104" i="15"/>
  <c r="P103" i="15"/>
  <c r="M103" i="15"/>
  <c r="I103" i="15"/>
  <c r="F103" i="15"/>
  <c r="P102" i="15"/>
  <c r="M102" i="15"/>
  <c r="I102" i="15"/>
  <c r="F102" i="15"/>
  <c r="P101" i="15"/>
  <c r="M101" i="15"/>
  <c r="I101" i="15"/>
  <c r="F101" i="15"/>
  <c r="P100" i="15"/>
  <c r="M100" i="15"/>
  <c r="I100" i="15"/>
  <c r="F100" i="15"/>
  <c r="P99" i="15"/>
  <c r="M99" i="15"/>
  <c r="I99" i="15"/>
  <c r="F99" i="15"/>
  <c r="P98" i="15"/>
  <c r="M98" i="15"/>
  <c r="I98" i="15"/>
  <c r="F98" i="15"/>
  <c r="P97" i="15"/>
  <c r="M97" i="15"/>
  <c r="I97" i="15"/>
  <c r="F97" i="15"/>
  <c r="P96" i="15"/>
  <c r="M96" i="15"/>
  <c r="I96" i="15"/>
  <c r="F96" i="15"/>
  <c r="P95" i="15"/>
  <c r="M95" i="15"/>
  <c r="I95" i="15"/>
  <c r="F95" i="15"/>
  <c r="P94" i="15"/>
  <c r="M94" i="15"/>
  <c r="I94" i="15"/>
  <c r="F94" i="15"/>
  <c r="P93" i="15"/>
  <c r="M93" i="15"/>
  <c r="I93" i="15"/>
  <c r="F93" i="15"/>
  <c r="P92" i="15"/>
  <c r="M92" i="15"/>
  <c r="I92" i="15"/>
  <c r="F92" i="15"/>
  <c r="P91" i="15"/>
  <c r="M91" i="15"/>
  <c r="I91" i="15"/>
  <c r="F91" i="15"/>
  <c r="K61" i="15"/>
  <c r="L61" i="15" s="1"/>
  <c r="L60" i="15"/>
  <c r="L59" i="15"/>
  <c r="K56" i="15"/>
  <c r="L56" i="15" s="1"/>
  <c r="L55" i="15"/>
  <c r="L54" i="15"/>
  <c r="K51" i="15"/>
  <c r="F29" i="20" s="1"/>
  <c r="F28" i="20" s="1"/>
  <c r="L50" i="15"/>
  <c r="L49" i="15"/>
  <c r="K36" i="15"/>
  <c r="L35" i="15"/>
  <c r="L34" i="15"/>
  <c r="K24" i="15"/>
  <c r="I13" i="15"/>
  <c r="K11" i="15"/>
  <c r="R91" i="15" l="1"/>
  <c r="R93" i="15"/>
  <c r="R99" i="15"/>
  <c r="R101" i="15"/>
  <c r="R107" i="15"/>
  <c r="R109" i="15"/>
  <c r="J92" i="15"/>
  <c r="J95" i="15"/>
  <c r="J97" i="15"/>
  <c r="J99" i="15"/>
  <c r="J102" i="15"/>
  <c r="J104" i="15"/>
  <c r="J106" i="15"/>
  <c r="J107" i="15"/>
  <c r="J109" i="15"/>
  <c r="I111" i="15"/>
  <c r="J91" i="15"/>
  <c r="J93" i="15"/>
  <c r="J94" i="15"/>
  <c r="J96" i="15"/>
  <c r="J98" i="15"/>
  <c r="J100" i="15"/>
  <c r="J101" i="15"/>
  <c r="J103" i="15"/>
  <c r="J105" i="15"/>
  <c r="J108" i="15"/>
  <c r="J110" i="15"/>
  <c r="R94" i="15"/>
  <c r="R95" i="15"/>
  <c r="R105" i="15"/>
  <c r="F10" i="20"/>
  <c r="F15" i="20"/>
  <c r="F12" i="20"/>
  <c r="F16" i="20"/>
  <c r="F20" i="20"/>
  <c r="F24" i="20"/>
  <c r="F13" i="20"/>
  <c r="F17" i="20"/>
  <c r="F21" i="20"/>
  <c r="F25" i="20"/>
  <c r="F14" i="20"/>
  <c r="F18" i="20"/>
  <c r="F22" i="20"/>
  <c r="F26" i="20"/>
  <c r="F9" i="20"/>
  <c r="F19" i="20"/>
  <c r="F23" i="20"/>
  <c r="F27" i="20"/>
  <c r="F11" i="20"/>
  <c r="R110" i="15"/>
  <c r="R100" i="15"/>
  <c r="R98" i="15"/>
  <c r="R106" i="15"/>
  <c r="R104" i="15"/>
  <c r="R103" i="15"/>
  <c r="R102" i="15"/>
  <c r="R97" i="15"/>
  <c r="R96" i="15"/>
  <c r="P111" i="15"/>
  <c r="R92" i="15"/>
  <c r="R108" i="15"/>
  <c r="M111" i="15"/>
  <c r="L36" i="15"/>
  <c r="J28" i="8"/>
  <c r="L51" i="15"/>
  <c r="I12" i="15"/>
  <c r="I19" i="15" s="1"/>
  <c r="K31" i="15"/>
  <c r="K25" i="15"/>
  <c r="K26" i="15" s="1"/>
  <c r="K27" i="15" l="1"/>
  <c r="K28" i="15"/>
  <c r="R111" i="15"/>
  <c r="K29" i="15"/>
  <c r="K30" i="15" s="1"/>
  <c r="I15" i="15"/>
  <c r="D22" i="19" s="1"/>
  <c r="I16" i="15"/>
  <c r="G22" i="18" s="1"/>
  <c r="F22" i="19" s="1"/>
  <c r="I17" i="15"/>
  <c r="S28" i="4" s="1"/>
  <c r="D12" i="19"/>
  <c r="D28" i="19"/>
  <c r="F29" i="1"/>
  <c r="D15" i="19" l="1"/>
  <c r="D25" i="19"/>
  <c r="D11" i="19"/>
  <c r="I18" i="15"/>
  <c r="K18" i="15" s="1"/>
  <c r="G18" i="18"/>
  <c r="F18" i="19" s="1"/>
  <c r="G25" i="18"/>
  <c r="F25" i="19" s="1"/>
  <c r="G25" i="19" s="1"/>
  <c r="D24" i="19"/>
  <c r="D18" i="19"/>
  <c r="G12" i="18"/>
  <c r="F12" i="19" s="1"/>
  <c r="G12" i="19" s="1"/>
  <c r="D21" i="19"/>
  <c r="D27" i="19"/>
  <c r="D14" i="19"/>
  <c r="G28" i="18"/>
  <c r="F28" i="19" s="1"/>
  <c r="G28" i="19" s="1"/>
  <c r="G15" i="18"/>
  <c r="F15" i="19" s="1"/>
  <c r="G25" i="20"/>
  <c r="G13" i="20"/>
  <c r="G24" i="20"/>
  <c r="G20" i="20"/>
  <c r="G28" i="20"/>
  <c r="G12" i="20"/>
  <c r="G9" i="20"/>
  <c r="G19" i="20"/>
  <c r="G23" i="20"/>
  <c r="G11" i="20"/>
  <c r="G17" i="20"/>
  <c r="G18" i="20"/>
  <c r="G16" i="20"/>
  <c r="G10" i="20"/>
  <c r="G21" i="20"/>
  <c r="G27" i="20"/>
  <c r="G15" i="20"/>
  <c r="G22" i="20"/>
  <c r="G26" i="20"/>
  <c r="G14" i="20"/>
  <c r="G21" i="18"/>
  <c r="F21" i="19" s="1"/>
  <c r="G24" i="18"/>
  <c r="F24" i="19" s="1"/>
  <c r="G27" i="18"/>
  <c r="F27" i="19" s="1"/>
  <c r="G11" i="18"/>
  <c r="F11" i="19" s="1"/>
  <c r="G14" i="18"/>
  <c r="F14" i="19" s="1"/>
  <c r="G17" i="18"/>
  <c r="F17" i="19" s="1"/>
  <c r="G20" i="18"/>
  <c r="F20" i="19" s="1"/>
  <c r="G23" i="18"/>
  <c r="F23" i="19" s="1"/>
  <c r="G26" i="18"/>
  <c r="F26" i="19" s="1"/>
  <c r="G10" i="18"/>
  <c r="F10" i="19" s="1"/>
  <c r="D17" i="19"/>
  <c r="D20" i="19"/>
  <c r="D23" i="19"/>
  <c r="D26" i="19"/>
  <c r="D10" i="19"/>
  <c r="G9" i="18"/>
  <c r="F9" i="19" s="1"/>
  <c r="G13" i="18"/>
  <c r="F13" i="19" s="1"/>
  <c r="G16" i="18"/>
  <c r="F16" i="19" s="1"/>
  <c r="G19" i="18"/>
  <c r="F19" i="19" s="1"/>
  <c r="D13" i="19"/>
  <c r="D16" i="19"/>
  <c r="D19" i="19"/>
  <c r="D9" i="19"/>
  <c r="G22" i="19"/>
  <c r="H28" i="14"/>
  <c r="L28" i="14" s="1"/>
  <c r="H28" i="13"/>
  <c r="G29" i="20" l="1"/>
  <c r="G15" i="19"/>
  <c r="J15" i="19" s="1"/>
  <c r="G11" i="19"/>
  <c r="J11" i="19" s="1"/>
  <c r="G18" i="19"/>
  <c r="J18" i="19" s="1"/>
  <c r="G26" i="19"/>
  <c r="J26" i="19" s="1"/>
  <c r="G14" i="19"/>
  <c r="J14" i="19" s="1"/>
  <c r="G24" i="19"/>
  <c r="J24" i="19" s="1"/>
  <c r="G16" i="19"/>
  <c r="J16" i="19" s="1"/>
  <c r="G13" i="19"/>
  <c r="J13" i="19" s="1"/>
  <c r="G21" i="19"/>
  <c r="J21" i="19" s="1"/>
  <c r="G23" i="19"/>
  <c r="J23" i="19" s="1"/>
  <c r="G20" i="19"/>
  <c r="J20" i="19" s="1"/>
  <c r="G27" i="19"/>
  <c r="J27" i="19" s="1"/>
  <c r="G29" i="18"/>
  <c r="G10" i="19"/>
  <c r="J10" i="19" s="1"/>
  <c r="G17" i="19"/>
  <c r="J17" i="19" s="1"/>
  <c r="G19" i="19"/>
  <c r="J19" i="19" s="1"/>
  <c r="AC14" i="3"/>
  <c r="AC27" i="3"/>
  <c r="AC11" i="3"/>
  <c r="AC12" i="3"/>
  <c r="AC20" i="3"/>
  <c r="AC15" i="3"/>
  <c r="AC17" i="3"/>
  <c r="AC18" i="3"/>
  <c r="AC22" i="3"/>
  <c r="AC10" i="3"/>
  <c r="AC19" i="3"/>
  <c r="AC13" i="3"/>
  <c r="AC26" i="3"/>
  <c r="AC21" i="3"/>
  <c r="AC16" i="3"/>
  <c r="AC23" i="3"/>
  <c r="AC9" i="3"/>
  <c r="AC28" i="3"/>
  <c r="AC24" i="3"/>
  <c r="AC25" i="3"/>
  <c r="F29" i="19"/>
  <c r="J12" i="19"/>
  <c r="J25" i="19"/>
  <c r="J22" i="19"/>
  <c r="J28" i="19"/>
  <c r="D29" i="19"/>
  <c r="G9" i="19"/>
  <c r="AC29" i="3" l="1"/>
  <c r="G29" i="19"/>
  <c r="J9" i="19"/>
  <c r="J29" i="19" l="1"/>
  <c r="H9" i="19"/>
  <c r="K9" i="19" s="1"/>
  <c r="H10" i="19"/>
  <c r="K10" i="19" s="1"/>
  <c r="H17" i="19"/>
  <c r="K17" i="19" s="1"/>
  <c r="H12" i="19"/>
  <c r="K12" i="19" s="1"/>
  <c r="H22" i="19"/>
  <c r="K22" i="19" s="1"/>
  <c r="H11" i="19"/>
  <c r="K11" i="19" s="1"/>
  <c r="H26" i="19"/>
  <c r="K26" i="19" s="1"/>
  <c r="H15" i="19"/>
  <c r="K15" i="19" s="1"/>
  <c r="H19" i="19"/>
  <c r="K19" i="19" s="1"/>
  <c r="H14" i="19"/>
  <c r="K14" i="19" s="1"/>
  <c r="H21" i="19"/>
  <c r="K21" i="19" s="1"/>
  <c r="H25" i="19"/>
  <c r="K25" i="19" s="1"/>
  <c r="H24" i="19"/>
  <c r="K24" i="19" s="1"/>
  <c r="H28" i="19"/>
  <c r="K28" i="19" s="1"/>
  <c r="H27" i="19"/>
  <c r="K27" i="19" s="1"/>
  <c r="H23" i="19"/>
  <c r="K23" i="19" s="1"/>
  <c r="H18" i="19"/>
  <c r="K18" i="19" s="1"/>
  <c r="H16" i="19"/>
  <c r="K16" i="19" s="1"/>
  <c r="H20" i="19"/>
  <c r="K20" i="19" s="1"/>
  <c r="H13" i="19"/>
  <c r="K13" i="19" s="1"/>
  <c r="M13" i="19" s="1"/>
  <c r="E71" i="19" s="1"/>
  <c r="F71" i="19" s="1"/>
  <c r="V9" i="3"/>
  <c r="V10" i="3"/>
  <c r="V11" i="3"/>
  <c r="V12" i="3"/>
  <c r="V13" i="3"/>
  <c r="V16" i="3"/>
  <c r="V17" i="3"/>
  <c r="V18" i="3"/>
  <c r="V20" i="3"/>
  <c r="V21" i="3"/>
  <c r="V23" i="3"/>
  <c r="V25" i="3"/>
  <c r="V26" i="3"/>
  <c r="V28" i="3"/>
  <c r="M16" i="19" l="1"/>
  <c r="E74" i="19" s="1"/>
  <c r="F74" i="19" s="1"/>
  <c r="M28" i="19"/>
  <c r="E86" i="19" s="1"/>
  <c r="F86" i="19" s="1"/>
  <c r="M14" i="19"/>
  <c r="E72" i="19" s="1"/>
  <c r="F72" i="19" s="1"/>
  <c r="M11" i="19"/>
  <c r="E69" i="19" s="1"/>
  <c r="F69" i="19" s="1"/>
  <c r="M10" i="19"/>
  <c r="E68" i="19" s="1"/>
  <c r="F68" i="19" s="1"/>
  <c r="M18" i="19"/>
  <c r="E76" i="19" s="1"/>
  <c r="F76" i="19" s="1"/>
  <c r="M24" i="19"/>
  <c r="E82" i="19" s="1"/>
  <c r="F82" i="19" s="1"/>
  <c r="M19" i="19"/>
  <c r="E77" i="19" s="1"/>
  <c r="F77" i="19" s="1"/>
  <c r="M22" i="19"/>
  <c r="E80" i="19" s="1"/>
  <c r="F80" i="19" s="1"/>
  <c r="H29" i="19"/>
  <c r="M23" i="19"/>
  <c r="E81" i="19" s="1"/>
  <c r="F81" i="19" s="1"/>
  <c r="M25" i="19"/>
  <c r="E83" i="19" s="1"/>
  <c r="F83" i="19" s="1"/>
  <c r="M15" i="19"/>
  <c r="E73" i="19" s="1"/>
  <c r="F73" i="19" s="1"/>
  <c r="M12" i="19"/>
  <c r="E70" i="19" s="1"/>
  <c r="F70" i="19" s="1"/>
  <c r="K29" i="19"/>
  <c r="L13" i="19" s="1"/>
  <c r="M9" i="19"/>
  <c r="M20" i="19"/>
  <c r="E78" i="19" s="1"/>
  <c r="F78" i="19" s="1"/>
  <c r="M27" i="19"/>
  <c r="E85" i="19" s="1"/>
  <c r="F85" i="19" s="1"/>
  <c r="M21" i="19"/>
  <c r="E79" i="19" s="1"/>
  <c r="F79" i="19" s="1"/>
  <c r="M26" i="19"/>
  <c r="E84" i="19" s="1"/>
  <c r="F84" i="19" s="1"/>
  <c r="M17" i="19"/>
  <c r="E75" i="19" s="1"/>
  <c r="F75" i="19" s="1"/>
  <c r="W28" i="4"/>
  <c r="C9" i="3"/>
  <c r="C10" i="3"/>
  <c r="C11" i="3"/>
  <c r="C12" i="3"/>
  <c r="C13" i="3"/>
  <c r="C14" i="3"/>
  <c r="C15" i="3"/>
  <c r="C16" i="3"/>
  <c r="C17" i="3"/>
  <c r="C18" i="3"/>
  <c r="C19" i="3"/>
  <c r="C30" i="11"/>
  <c r="B29" i="1"/>
  <c r="E29" i="1"/>
  <c r="G28" i="1"/>
  <c r="D28" i="1"/>
  <c r="G27" i="1"/>
  <c r="D27" i="1"/>
  <c r="G26" i="1"/>
  <c r="D26" i="1"/>
  <c r="G25" i="1"/>
  <c r="D25" i="1"/>
  <c r="G24" i="1"/>
  <c r="D24" i="1"/>
  <c r="G23" i="1"/>
  <c r="D23" i="1"/>
  <c r="G22" i="1"/>
  <c r="D22" i="1"/>
  <c r="G21" i="1"/>
  <c r="D21" i="1"/>
  <c r="G20" i="1"/>
  <c r="D20" i="1"/>
  <c r="G19" i="1"/>
  <c r="D19" i="1"/>
  <c r="G18" i="1"/>
  <c r="D18" i="1"/>
  <c r="G17" i="1"/>
  <c r="D17" i="1"/>
  <c r="G16" i="1"/>
  <c r="D16" i="1"/>
  <c r="G15" i="1"/>
  <c r="D15" i="1"/>
  <c r="G14" i="1"/>
  <c r="D14" i="1"/>
  <c r="G13" i="1"/>
  <c r="D13" i="1"/>
  <c r="G12" i="1"/>
  <c r="D12" i="1"/>
  <c r="G11" i="1"/>
  <c r="D11" i="1"/>
  <c r="G10" i="1"/>
  <c r="D10" i="1"/>
  <c r="G9" i="1"/>
  <c r="D9" i="1"/>
  <c r="M28" i="8"/>
  <c r="C28" i="8"/>
  <c r="C29" i="7"/>
  <c r="D59" i="5"/>
  <c r="E58" i="5"/>
  <c r="F58" i="5" s="1"/>
  <c r="E57" i="5"/>
  <c r="F57" i="5" s="1"/>
  <c r="E56" i="5"/>
  <c r="F56" i="5" s="1"/>
  <c r="E55" i="5"/>
  <c r="F55" i="5" s="1"/>
  <c r="E54" i="5"/>
  <c r="F54" i="5" s="1"/>
  <c r="E53" i="5"/>
  <c r="F53" i="5" s="1"/>
  <c r="E52" i="5"/>
  <c r="F52" i="5" s="1"/>
  <c r="E51" i="5"/>
  <c r="F51" i="5" s="1"/>
  <c r="E50" i="5"/>
  <c r="F50" i="5" s="1"/>
  <c r="E49" i="5"/>
  <c r="F49" i="5" s="1"/>
  <c r="E48" i="5"/>
  <c r="F48" i="5" s="1"/>
  <c r="E47" i="5"/>
  <c r="F47" i="5" s="1"/>
  <c r="E46" i="5"/>
  <c r="F46" i="5" s="1"/>
  <c r="E45" i="5"/>
  <c r="F45" i="5" s="1"/>
  <c r="E44" i="5"/>
  <c r="F44" i="5" s="1"/>
  <c r="E43" i="5"/>
  <c r="F43" i="5" s="1"/>
  <c r="E42" i="5"/>
  <c r="F42" i="5" s="1"/>
  <c r="E41" i="5"/>
  <c r="F41" i="5" s="1"/>
  <c r="E40" i="5"/>
  <c r="F40" i="5" s="1"/>
  <c r="E39" i="5"/>
  <c r="AA28" i="5"/>
  <c r="Y28" i="5"/>
  <c r="W28" i="5"/>
  <c r="M28" i="5"/>
  <c r="N21" i="5" s="1"/>
  <c r="B20" i="47" s="1"/>
  <c r="D28" i="5"/>
  <c r="V27" i="5"/>
  <c r="X27" i="5" s="1"/>
  <c r="AB26" i="5"/>
  <c r="AB25" i="5"/>
  <c r="V25" i="5"/>
  <c r="X25" i="5" s="1"/>
  <c r="AB24" i="5"/>
  <c r="V24" i="5"/>
  <c r="X24" i="5" s="1"/>
  <c r="AB23" i="5"/>
  <c r="AB22" i="5"/>
  <c r="V22" i="5"/>
  <c r="X22" i="5" s="1"/>
  <c r="AB21" i="5"/>
  <c r="AB20" i="5"/>
  <c r="V20" i="5"/>
  <c r="X20" i="5" s="1"/>
  <c r="AB19" i="5"/>
  <c r="V19" i="5"/>
  <c r="X19" i="5" s="1"/>
  <c r="AB18" i="5"/>
  <c r="AB17" i="5"/>
  <c r="V17" i="5"/>
  <c r="X17" i="5" s="1"/>
  <c r="AB16" i="5"/>
  <c r="V16" i="5"/>
  <c r="X16" i="5" s="1"/>
  <c r="AB15" i="5"/>
  <c r="V15" i="5"/>
  <c r="X15" i="5" s="1"/>
  <c r="AB14" i="5"/>
  <c r="AB13" i="5"/>
  <c r="V12" i="5"/>
  <c r="X12" i="5" s="1"/>
  <c r="V11" i="5"/>
  <c r="X11" i="5" s="1"/>
  <c r="V10" i="5"/>
  <c r="X10" i="5" s="1"/>
  <c r="V9" i="5"/>
  <c r="X9" i="5" s="1"/>
  <c r="V8" i="5"/>
  <c r="X8" i="5" s="1"/>
  <c r="T8" i="5"/>
  <c r="T28" i="5" s="1"/>
  <c r="B28" i="4"/>
  <c r="I9" i="5" l="1"/>
  <c r="H10" i="65"/>
  <c r="I11" i="5"/>
  <c r="H12" i="65"/>
  <c r="I15" i="5"/>
  <c r="H16" i="65"/>
  <c r="I19" i="5"/>
  <c r="H20" i="65"/>
  <c r="I25" i="5"/>
  <c r="H26" i="65"/>
  <c r="H8" i="4"/>
  <c r="G9" i="65"/>
  <c r="H10" i="4"/>
  <c r="G11" i="65"/>
  <c r="H12" i="4"/>
  <c r="G13" i="65"/>
  <c r="H14" i="4"/>
  <c r="G15" i="65"/>
  <c r="H16" i="4"/>
  <c r="G17" i="65"/>
  <c r="H18" i="4"/>
  <c r="G19" i="65"/>
  <c r="H20" i="4"/>
  <c r="G21" i="65"/>
  <c r="H22" i="4"/>
  <c r="G23" i="65"/>
  <c r="H24" i="4"/>
  <c r="G25" i="65"/>
  <c r="H26" i="4"/>
  <c r="G27" i="65"/>
  <c r="I10" i="5"/>
  <c r="H11" i="65"/>
  <c r="I14" i="5"/>
  <c r="H15" i="65"/>
  <c r="I15" i="65" s="1"/>
  <c r="I20" i="5"/>
  <c r="H21" i="65"/>
  <c r="I21" i="65" s="1"/>
  <c r="I26" i="5"/>
  <c r="H27" i="65"/>
  <c r="I27" i="65" s="1"/>
  <c r="I8" i="5"/>
  <c r="H9" i="65"/>
  <c r="I12" i="5"/>
  <c r="H13" i="65"/>
  <c r="I13" i="65" s="1"/>
  <c r="I16" i="5"/>
  <c r="H17" i="65"/>
  <c r="I17" i="65" s="1"/>
  <c r="I18" i="5"/>
  <c r="H19" i="65"/>
  <c r="I19" i="65" s="1"/>
  <c r="I22" i="5"/>
  <c r="H23" i="65"/>
  <c r="I23" i="65" s="1"/>
  <c r="I24" i="5"/>
  <c r="H25" i="65"/>
  <c r="I25" i="65" s="1"/>
  <c r="H9" i="4"/>
  <c r="G10" i="65"/>
  <c r="H11" i="4"/>
  <c r="G12" i="65"/>
  <c r="I12" i="65" s="1"/>
  <c r="H13" i="4"/>
  <c r="G14" i="65"/>
  <c r="H15" i="4"/>
  <c r="G16" i="65"/>
  <c r="I16" i="65" s="1"/>
  <c r="H17" i="4"/>
  <c r="G18" i="65"/>
  <c r="H19" i="4"/>
  <c r="G20" i="65"/>
  <c r="I20" i="65" s="1"/>
  <c r="H21" i="4"/>
  <c r="G22" i="65"/>
  <c r="H23" i="4"/>
  <c r="G24" i="65"/>
  <c r="H25" i="4"/>
  <c r="G26" i="65"/>
  <c r="H27" i="4"/>
  <c r="G28" i="65"/>
  <c r="I13" i="5"/>
  <c r="H14" i="65"/>
  <c r="I14" i="65" s="1"/>
  <c r="I17" i="5"/>
  <c r="H18" i="65"/>
  <c r="I21" i="5"/>
  <c r="H22" i="65"/>
  <c r="I22" i="65" s="1"/>
  <c r="I23" i="5"/>
  <c r="H24" i="65"/>
  <c r="I27" i="5"/>
  <c r="H28" i="65"/>
  <c r="C20" i="47"/>
  <c r="H20" i="47"/>
  <c r="N20" i="47"/>
  <c r="G20" i="47"/>
  <c r="D20" i="47"/>
  <c r="F20" i="47"/>
  <c r="K20" i="47"/>
  <c r="M20" i="47"/>
  <c r="J20" i="47"/>
  <c r="I20" i="47"/>
  <c r="E20" i="47"/>
  <c r="L20" i="47"/>
  <c r="L27" i="19"/>
  <c r="L9" i="19"/>
  <c r="AB28" i="5"/>
  <c r="L26" i="19"/>
  <c r="L25" i="19"/>
  <c r="L12" i="19"/>
  <c r="L15" i="19"/>
  <c r="L23" i="19"/>
  <c r="L17" i="19"/>
  <c r="L21" i="19"/>
  <c r="L20" i="19"/>
  <c r="L19" i="19"/>
  <c r="L18" i="19"/>
  <c r="L11" i="19"/>
  <c r="L28" i="19"/>
  <c r="M29" i="19"/>
  <c r="E87" i="19" s="1"/>
  <c r="F87" i="19" s="1"/>
  <c r="E67" i="19"/>
  <c r="F67" i="19" s="1"/>
  <c r="L22" i="19"/>
  <c r="L24" i="19"/>
  <c r="L10" i="19"/>
  <c r="L14" i="19"/>
  <c r="L16" i="19"/>
  <c r="N23" i="5"/>
  <c r="N18" i="5"/>
  <c r="N13" i="5"/>
  <c r="V22" i="3"/>
  <c r="V21" i="5"/>
  <c r="X21" i="5" s="1"/>
  <c r="N26" i="5"/>
  <c r="B25" i="47" s="1"/>
  <c r="N14" i="5"/>
  <c r="B13" i="47" s="1"/>
  <c r="E9" i="8"/>
  <c r="I9" i="4"/>
  <c r="J9" i="4" s="1"/>
  <c r="X9" i="4" s="1"/>
  <c r="E11" i="8"/>
  <c r="I11" i="4"/>
  <c r="J11" i="4" s="1"/>
  <c r="X11" i="4" s="1"/>
  <c r="E13" i="8"/>
  <c r="I13" i="4"/>
  <c r="J13" i="4" s="1"/>
  <c r="X13" i="4" s="1"/>
  <c r="E15" i="8"/>
  <c r="I15" i="4"/>
  <c r="E17" i="8"/>
  <c r="I17" i="4"/>
  <c r="J17" i="4" s="1"/>
  <c r="X17" i="4" s="1"/>
  <c r="E19" i="8"/>
  <c r="I19" i="4"/>
  <c r="J19" i="4" s="1"/>
  <c r="X19" i="4" s="1"/>
  <c r="I21" i="4"/>
  <c r="J21" i="4" s="1"/>
  <c r="X21" i="4" s="1"/>
  <c r="E21" i="8"/>
  <c r="E23" i="8"/>
  <c r="I23" i="4"/>
  <c r="J23" i="4" s="1"/>
  <c r="X23" i="4" s="1"/>
  <c r="I25" i="4"/>
  <c r="J25" i="4" s="1"/>
  <c r="X25" i="4" s="1"/>
  <c r="E25" i="8"/>
  <c r="E27" i="8"/>
  <c r="I27" i="4"/>
  <c r="J27" i="4" s="1"/>
  <c r="X27" i="4" s="1"/>
  <c r="E10" i="8"/>
  <c r="I10" i="4"/>
  <c r="J10" i="4" s="1"/>
  <c r="X10" i="4" s="1"/>
  <c r="I12" i="4"/>
  <c r="J12" i="4" s="1"/>
  <c r="X12" i="4" s="1"/>
  <c r="E12" i="8"/>
  <c r="I14" i="4"/>
  <c r="J14" i="4" s="1"/>
  <c r="X14" i="4" s="1"/>
  <c r="E14" i="8"/>
  <c r="I16" i="4"/>
  <c r="J16" i="4" s="1"/>
  <c r="X16" i="4" s="1"/>
  <c r="E16" i="8"/>
  <c r="I18" i="4"/>
  <c r="J18" i="4" s="1"/>
  <c r="X18" i="4" s="1"/>
  <c r="E18" i="8"/>
  <c r="I20" i="4"/>
  <c r="J20" i="4" s="1"/>
  <c r="X20" i="4" s="1"/>
  <c r="E20" i="8"/>
  <c r="I22" i="4"/>
  <c r="J22" i="4" s="1"/>
  <c r="X22" i="4" s="1"/>
  <c r="E22" i="8"/>
  <c r="I24" i="4"/>
  <c r="J24" i="4" s="1"/>
  <c r="X24" i="4" s="1"/>
  <c r="E24" i="8"/>
  <c r="E26" i="8"/>
  <c r="I26" i="4"/>
  <c r="J26" i="4" s="1"/>
  <c r="X26" i="4" s="1"/>
  <c r="I8" i="4"/>
  <c r="J8" i="4" s="1"/>
  <c r="X8" i="4" s="1"/>
  <c r="E8" i="8"/>
  <c r="G29" i="1"/>
  <c r="D29" i="1"/>
  <c r="D28" i="4"/>
  <c r="E10" i="4" s="1"/>
  <c r="E10" i="22" s="1"/>
  <c r="E59" i="5"/>
  <c r="F59" i="5" s="1"/>
  <c r="H28" i="4"/>
  <c r="F28" i="5"/>
  <c r="G9" i="5" s="1"/>
  <c r="D29" i="7"/>
  <c r="G28" i="8"/>
  <c r="C29" i="1"/>
  <c r="E29" i="7"/>
  <c r="F14" i="7" s="1"/>
  <c r="B12" i="41" s="1"/>
  <c r="E28" i="5"/>
  <c r="I28" i="5"/>
  <c r="J12" i="5" s="1"/>
  <c r="K12" i="5" s="1"/>
  <c r="F39" i="5"/>
  <c r="I28" i="65" l="1"/>
  <c r="W28" i="65" s="1"/>
  <c r="W22" i="65"/>
  <c r="W14" i="65"/>
  <c r="I18" i="65"/>
  <c r="W23" i="65"/>
  <c r="W17" i="65"/>
  <c r="H29" i="65"/>
  <c r="I9" i="65"/>
  <c r="W21" i="65"/>
  <c r="I11" i="65"/>
  <c r="G29" i="65"/>
  <c r="I24" i="65"/>
  <c r="W20" i="65"/>
  <c r="W16" i="65"/>
  <c r="W12" i="65"/>
  <c r="W25" i="65"/>
  <c r="W19" i="65"/>
  <c r="W13" i="65"/>
  <c r="W27" i="65"/>
  <c r="W15" i="65"/>
  <c r="I26" i="65"/>
  <c r="W26" i="65" s="1"/>
  <c r="I10" i="65"/>
  <c r="H9" i="5"/>
  <c r="C25" i="47"/>
  <c r="G25" i="47"/>
  <c r="I25" i="47"/>
  <c r="H25" i="47"/>
  <c r="J25" i="47"/>
  <c r="D25" i="47"/>
  <c r="M25" i="47"/>
  <c r="E25" i="47"/>
  <c r="L25" i="47"/>
  <c r="K25" i="47"/>
  <c r="N25" i="47"/>
  <c r="F25" i="47"/>
  <c r="V19" i="3"/>
  <c r="B17" i="47"/>
  <c r="V24" i="3"/>
  <c r="B22" i="47"/>
  <c r="L12" i="41"/>
  <c r="L9" i="40" s="1"/>
  <c r="J12" i="41"/>
  <c r="J9" i="40" s="1"/>
  <c r="N12" i="41"/>
  <c r="N9" i="40" s="1"/>
  <c r="G12" i="41"/>
  <c r="G9" i="40" s="1"/>
  <c r="M12" i="41"/>
  <c r="M9" i="40" s="1"/>
  <c r="D12" i="41"/>
  <c r="D9" i="40" s="1"/>
  <c r="I12" i="41"/>
  <c r="I9" i="40" s="1"/>
  <c r="F12" i="41"/>
  <c r="F9" i="40" s="1"/>
  <c r="H12" i="41"/>
  <c r="H9" i="40" s="1"/>
  <c r="E12" i="41"/>
  <c r="E9" i="40" s="1"/>
  <c r="K12" i="41"/>
  <c r="K9" i="40" s="1"/>
  <c r="C12" i="41"/>
  <c r="C13" i="47"/>
  <c r="K13" i="47"/>
  <c r="E13" i="47"/>
  <c r="M13" i="47"/>
  <c r="I13" i="47"/>
  <c r="H13" i="47"/>
  <c r="L13" i="47"/>
  <c r="F13" i="47"/>
  <c r="J13" i="47"/>
  <c r="D13" i="47"/>
  <c r="N13" i="47"/>
  <c r="G13" i="47"/>
  <c r="V14" i="3"/>
  <c r="B12" i="47"/>
  <c r="O20" i="47"/>
  <c r="E23" i="4"/>
  <c r="E23" i="22" s="1"/>
  <c r="G23" i="22" s="1"/>
  <c r="E21" i="4"/>
  <c r="E21" i="22" s="1"/>
  <c r="G21" i="22" s="1"/>
  <c r="F10" i="22"/>
  <c r="G10" i="22"/>
  <c r="E25" i="4"/>
  <c r="E25" i="22" s="1"/>
  <c r="E11" i="4"/>
  <c r="E11" i="22" s="1"/>
  <c r="L29" i="19"/>
  <c r="AD14" i="3"/>
  <c r="G14" i="7"/>
  <c r="H14" i="7" s="1"/>
  <c r="AE14" i="3" s="1"/>
  <c r="C23" i="14"/>
  <c r="D23" i="14" s="1"/>
  <c r="C21" i="13"/>
  <c r="D21" i="13" s="1"/>
  <c r="F10" i="4"/>
  <c r="C10" i="14"/>
  <c r="D10" i="14" s="1"/>
  <c r="C10" i="13"/>
  <c r="D10" i="13" s="1"/>
  <c r="N28" i="5"/>
  <c r="G84" i="19"/>
  <c r="H84" i="19" s="1"/>
  <c r="G68" i="19"/>
  <c r="H68" i="19" s="1"/>
  <c r="G71" i="19"/>
  <c r="H71" i="19" s="1"/>
  <c r="G78" i="19"/>
  <c r="H78" i="19" s="1"/>
  <c r="G81" i="19"/>
  <c r="H81" i="19" s="1"/>
  <c r="G80" i="19"/>
  <c r="H80" i="19" s="1"/>
  <c r="G83" i="19"/>
  <c r="H83" i="19" s="1"/>
  <c r="G67" i="19"/>
  <c r="H67" i="19" s="1"/>
  <c r="G74" i="19"/>
  <c r="H74" i="19" s="1"/>
  <c r="G77" i="19"/>
  <c r="H77" i="19" s="1"/>
  <c r="G76" i="19"/>
  <c r="H76" i="19" s="1"/>
  <c r="G79" i="19"/>
  <c r="H79" i="19" s="1"/>
  <c r="G86" i="19"/>
  <c r="H86" i="19" s="1"/>
  <c r="G70" i="19"/>
  <c r="H70" i="19" s="1"/>
  <c r="G73" i="19"/>
  <c r="H73" i="19" s="1"/>
  <c r="G87" i="19"/>
  <c r="G72" i="19"/>
  <c r="H72" i="19" s="1"/>
  <c r="G75" i="19"/>
  <c r="H75" i="19" s="1"/>
  <c r="G82" i="19"/>
  <c r="H82" i="19" s="1"/>
  <c r="G85" i="19"/>
  <c r="H85" i="19" s="1"/>
  <c r="G69" i="19"/>
  <c r="H69" i="19" s="1"/>
  <c r="V18" i="5"/>
  <c r="X18" i="5" s="1"/>
  <c r="V13" i="5"/>
  <c r="X13" i="5" s="1"/>
  <c r="V23" i="5"/>
  <c r="X23" i="5" s="1"/>
  <c r="V15" i="3"/>
  <c r="V14" i="5"/>
  <c r="X14" i="5" s="1"/>
  <c r="V27" i="3"/>
  <c r="V26" i="5"/>
  <c r="X26" i="5" s="1"/>
  <c r="E26" i="4"/>
  <c r="E26" i="22" s="1"/>
  <c r="E12" i="4"/>
  <c r="E12" i="22" s="1"/>
  <c r="E14" i="4"/>
  <c r="E14" i="22" s="1"/>
  <c r="E17" i="4"/>
  <c r="E17" i="22" s="1"/>
  <c r="I28" i="4"/>
  <c r="J15" i="4"/>
  <c r="X15" i="4" s="1"/>
  <c r="E28" i="8"/>
  <c r="F11" i="8" s="1"/>
  <c r="H11" i="8" s="1"/>
  <c r="J25" i="5"/>
  <c r="J24" i="5"/>
  <c r="K24" i="5" s="1"/>
  <c r="F20" i="7"/>
  <c r="B18" i="41" s="1"/>
  <c r="F26" i="7"/>
  <c r="B24" i="41" s="1"/>
  <c r="G17" i="5"/>
  <c r="G23" i="5"/>
  <c r="G15" i="5"/>
  <c r="G18" i="5"/>
  <c r="G19" i="5"/>
  <c r="G25" i="5"/>
  <c r="G26" i="5"/>
  <c r="G27" i="5"/>
  <c r="G20" i="5"/>
  <c r="G22" i="5"/>
  <c r="G24" i="5"/>
  <c r="G28" i="5"/>
  <c r="G14" i="5"/>
  <c r="J14" i="5"/>
  <c r="K14" i="5" s="1"/>
  <c r="E24" i="4"/>
  <c r="E24" i="22" s="1"/>
  <c r="E22" i="4"/>
  <c r="E22" i="22" s="1"/>
  <c r="E20" i="4"/>
  <c r="E20" i="22" s="1"/>
  <c r="J16" i="5"/>
  <c r="K16" i="5" s="1"/>
  <c r="E19" i="4"/>
  <c r="E19" i="22" s="1"/>
  <c r="E16" i="4"/>
  <c r="E16" i="22" s="1"/>
  <c r="E8" i="4"/>
  <c r="E8" i="22" s="1"/>
  <c r="E9" i="4"/>
  <c r="E9" i="22" s="1"/>
  <c r="E27" i="4"/>
  <c r="E27" i="22" s="1"/>
  <c r="E18" i="4"/>
  <c r="E18" i="22" s="1"/>
  <c r="J11" i="5"/>
  <c r="K11" i="5" s="1"/>
  <c r="E15" i="4"/>
  <c r="E15" i="22" s="1"/>
  <c r="E13" i="4"/>
  <c r="E13" i="22" s="1"/>
  <c r="J26" i="5"/>
  <c r="K26" i="5" s="1"/>
  <c r="G11" i="5"/>
  <c r="J15" i="5"/>
  <c r="K15" i="5" s="1"/>
  <c r="G10" i="5"/>
  <c r="G16" i="5"/>
  <c r="G21" i="5"/>
  <c r="G8" i="5"/>
  <c r="G13" i="5"/>
  <c r="G12" i="5"/>
  <c r="B11" i="48" s="1"/>
  <c r="F28" i="7"/>
  <c r="B26" i="41" s="1"/>
  <c r="F16" i="7"/>
  <c r="B14" i="41" s="1"/>
  <c r="F18" i="7"/>
  <c r="B16" i="41" s="1"/>
  <c r="F24" i="7"/>
  <c r="B22" i="41" s="1"/>
  <c r="F10" i="7"/>
  <c r="B8" i="41" s="1"/>
  <c r="F27" i="7"/>
  <c r="B25" i="41" s="1"/>
  <c r="F23" i="7"/>
  <c r="B21" i="41" s="1"/>
  <c r="F19" i="7"/>
  <c r="B17" i="41" s="1"/>
  <c r="F15" i="7"/>
  <c r="B13" i="41" s="1"/>
  <c r="F11" i="7"/>
  <c r="B9" i="41" s="1"/>
  <c r="F25" i="7"/>
  <c r="B23" i="41" s="1"/>
  <c r="F21" i="7"/>
  <c r="B19" i="41" s="1"/>
  <c r="F17" i="7"/>
  <c r="B15" i="41" s="1"/>
  <c r="F13" i="7"/>
  <c r="B11" i="41" s="1"/>
  <c r="F9" i="7"/>
  <c r="B7" i="41" s="1"/>
  <c r="F22" i="7"/>
  <c r="B20" i="41" s="1"/>
  <c r="F12" i="7"/>
  <c r="B10" i="41" s="1"/>
  <c r="J27" i="5"/>
  <c r="K27" i="5" s="1"/>
  <c r="J23" i="5"/>
  <c r="K23" i="5" s="1"/>
  <c r="J22" i="5"/>
  <c r="K22" i="5" s="1"/>
  <c r="J21" i="5"/>
  <c r="K21" i="5" s="1"/>
  <c r="J20" i="5"/>
  <c r="K20" i="5" s="1"/>
  <c r="J19" i="5"/>
  <c r="K19" i="5" s="1"/>
  <c r="J17" i="5"/>
  <c r="K17" i="5" s="1"/>
  <c r="J28" i="5"/>
  <c r="J10" i="5"/>
  <c r="K10" i="5" s="1"/>
  <c r="J9" i="5"/>
  <c r="K9" i="5" s="1"/>
  <c r="J13" i="5"/>
  <c r="K13" i="5" s="1"/>
  <c r="J8" i="5"/>
  <c r="K8" i="5" s="1"/>
  <c r="J18" i="5"/>
  <c r="K18" i="5" s="1"/>
  <c r="W10" i="65" l="1"/>
  <c r="W9" i="65"/>
  <c r="I29" i="65"/>
  <c r="J18" i="65" s="1"/>
  <c r="K18" i="65" s="1"/>
  <c r="W24" i="65"/>
  <c r="J24" i="65"/>
  <c r="K24" i="65" s="1"/>
  <c r="W11" i="65"/>
  <c r="W18" i="65"/>
  <c r="J7" i="41"/>
  <c r="L7" i="41"/>
  <c r="N7" i="41"/>
  <c r="M7" i="41"/>
  <c r="D7" i="41"/>
  <c r="G7" i="41"/>
  <c r="H7" i="41"/>
  <c r="E7" i="41"/>
  <c r="K7" i="41"/>
  <c r="I7" i="41"/>
  <c r="F7" i="41"/>
  <c r="C7" i="41"/>
  <c r="B27" i="41"/>
  <c r="L23" i="41"/>
  <c r="L20" i="40" s="1"/>
  <c r="D23" i="41"/>
  <c r="D20" i="40" s="1"/>
  <c r="G23" i="41"/>
  <c r="G20" i="40" s="1"/>
  <c r="J23" i="41"/>
  <c r="J20" i="40" s="1"/>
  <c r="N23" i="41"/>
  <c r="N20" i="40" s="1"/>
  <c r="M23" i="41"/>
  <c r="M20" i="40" s="1"/>
  <c r="F23" i="41"/>
  <c r="F20" i="40" s="1"/>
  <c r="E23" i="41"/>
  <c r="E20" i="40" s="1"/>
  <c r="I23" i="41"/>
  <c r="I20" i="40" s="1"/>
  <c r="H23" i="41"/>
  <c r="H20" i="40" s="1"/>
  <c r="K23" i="41"/>
  <c r="K20" i="40" s="1"/>
  <c r="C23" i="41"/>
  <c r="G21" i="41"/>
  <c r="G18" i="40" s="1"/>
  <c r="L21" i="41"/>
  <c r="L18" i="40" s="1"/>
  <c r="D21" i="41"/>
  <c r="D18" i="40" s="1"/>
  <c r="N21" i="41"/>
  <c r="N18" i="40" s="1"/>
  <c r="M21" i="41"/>
  <c r="M18" i="40" s="1"/>
  <c r="J21" i="41"/>
  <c r="J18" i="40" s="1"/>
  <c r="H21" i="41"/>
  <c r="H18" i="40" s="1"/>
  <c r="E21" i="41"/>
  <c r="E18" i="40" s="1"/>
  <c r="I21" i="41"/>
  <c r="I18" i="40" s="1"/>
  <c r="F21" i="41"/>
  <c r="F18" i="40" s="1"/>
  <c r="K21" i="41"/>
  <c r="K18" i="40" s="1"/>
  <c r="C21" i="41"/>
  <c r="G16" i="41"/>
  <c r="G13" i="40" s="1"/>
  <c r="D16" i="41"/>
  <c r="D13" i="40" s="1"/>
  <c r="N16" i="41"/>
  <c r="N13" i="40" s="1"/>
  <c r="M16" i="41"/>
  <c r="M13" i="40" s="1"/>
  <c r="L16" i="41"/>
  <c r="L13" i="40" s="1"/>
  <c r="J16" i="41"/>
  <c r="J13" i="40" s="1"/>
  <c r="K16" i="41"/>
  <c r="K13" i="40" s="1"/>
  <c r="E16" i="41"/>
  <c r="E13" i="40" s="1"/>
  <c r="I16" i="41"/>
  <c r="I13" i="40" s="1"/>
  <c r="F16" i="41"/>
  <c r="F13" i="40" s="1"/>
  <c r="H16" i="41"/>
  <c r="H13" i="40" s="1"/>
  <c r="C16" i="41"/>
  <c r="H13" i="5"/>
  <c r="B12" i="48"/>
  <c r="H10" i="5"/>
  <c r="B9" i="48"/>
  <c r="H24" i="5"/>
  <c r="G55" i="5" s="1"/>
  <c r="B23" i="48"/>
  <c r="H26" i="5"/>
  <c r="B25" i="48"/>
  <c r="H15" i="5"/>
  <c r="L15" i="5" s="1"/>
  <c r="B14" i="48"/>
  <c r="L18" i="41"/>
  <c r="L15" i="40" s="1"/>
  <c r="G18" i="41"/>
  <c r="G15" i="40" s="1"/>
  <c r="N18" i="41"/>
  <c r="N15" i="40" s="1"/>
  <c r="D18" i="41"/>
  <c r="D15" i="40" s="1"/>
  <c r="M18" i="41"/>
  <c r="M15" i="40" s="1"/>
  <c r="J18" i="41"/>
  <c r="J15" i="40" s="1"/>
  <c r="I18" i="41"/>
  <c r="I15" i="40" s="1"/>
  <c r="H18" i="41"/>
  <c r="H15" i="40" s="1"/>
  <c r="E18" i="41"/>
  <c r="E15" i="40" s="1"/>
  <c r="F18" i="41"/>
  <c r="F15" i="40" s="1"/>
  <c r="K18" i="41"/>
  <c r="K15" i="40" s="1"/>
  <c r="C18" i="41"/>
  <c r="O13" i="47"/>
  <c r="C17" i="47"/>
  <c r="K17" i="47"/>
  <c r="I17" i="47"/>
  <c r="E17" i="47"/>
  <c r="D17" i="47"/>
  <c r="M17" i="47"/>
  <c r="L17" i="47"/>
  <c r="G17" i="47"/>
  <c r="F17" i="47"/>
  <c r="J17" i="47"/>
  <c r="H17" i="47"/>
  <c r="N17" i="47"/>
  <c r="N11" i="41"/>
  <c r="N8" i="40" s="1"/>
  <c r="D11" i="41"/>
  <c r="D8" i="40" s="1"/>
  <c r="M11" i="41"/>
  <c r="M8" i="40" s="1"/>
  <c r="G11" i="41"/>
  <c r="G8" i="40" s="1"/>
  <c r="J11" i="41"/>
  <c r="J8" i="40" s="1"/>
  <c r="L11" i="41"/>
  <c r="L8" i="40" s="1"/>
  <c r="I11" i="41"/>
  <c r="I8" i="40" s="1"/>
  <c r="H11" i="41"/>
  <c r="H8" i="40" s="1"/>
  <c r="F11" i="41"/>
  <c r="F8" i="40" s="1"/>
  <c r="K11" i="41"/>
  <c r="K8" i="40" s="1"/>
  <c r="E11" i="41"/>
  <c r="E8" i="40" s="1"/>
  <c r="C11" i="41"/>
  <c r="N9" i="41"/>
  <c r="N6" i="40" s="1"/>
  <c r="M9" i="41"/>
  <c r="M6" i="40" s="1"/>
  <c r="J9" i="41"/>
  <c r="J6" i="40" s="1"/>
  <c r="G9" i="41"/>
  <c r="G6" i="40" s="1"/>
  <c r="L9" i="41"/>
  <c r="L6" i="40" s="1"/>
  <c r="D9" i="41"/>
  <c r="D6" i="40" s="1"/>
  <c r="K9" i="41"/>
  <c r="K6" i="40" s="1"/>
  <c r="I9" i="41"/>
  <c r="I6" i="40" s="1"/>
  <c r="E9" i="41"/>
  <c r="E6" i="40" s="1"/>
  <c r="H9" i="41"/>
  <c r="H6" i="40" s="1"/>
  <c r="F9" i="41"/>
  <c r="F6" i="40" s="1"/>
  <c r="C9" i="41"/>
  <c r="N25" i="41"/>
  <c r="N22" i="40" s="1"/>
  <c r="M25" i="41"/>
  <c r="M22" i="40" s="1"/>
  <c r="J25" i="41"/>
  <c r="J22" i="40" s="1"/>
  <c r="G25" i="41"/>
  <c r="G22" i="40" s="1"/>
  <c r="L25" i="41"/>
  <c r="L22" i="40" s="1"/>
  <c r="D25" i="41"/>
  <c r="D22" i="40" s="1"/>
  <c r="K25" i="41"/>
  <c r="K22" i="40" s="1"/>
  <c r="H25" i="41"/>
  <c r="H22" i="40" s="1"/>
  <c r="E25" i="41"/>
  <c r="E22" i="40" s="1"/>
  <c r="I25" i="41"/>
  <c r="I22" i="40" s="1"/>
  <c r="F25" i="41"/>
  <c r="F22" i="40" s="1"/>
  <c r="C25" i="41"/>
  <c r="N14" i="41"/>
  <c r="N11" i="40" s="1"/>
  <c r="D14" i="41"/>
  <c r="D11" i="40" s="1"/>
  <c r="I14" i="41"/>
  <c r="I11" i="40" s="1"/>
  <c r="M14" i="41"/>
  <c r="M11" i="40" s="1"/>
  <c r="J14" i="41"/>
  <c r="J11" i="40" s="1"/>
  <c r="L14" i="41"/>
  <c r="L11" i="40" s="1"/>
  <c r="G14" i="41"/>
  <c r="G11" i="40" s="1"/>
  <c r="H14" i="41"/>
  <c r="H11" i="40" s="1"/>
  <c r="E14" i="41"/>
  <c r="E11" i="40" s="1"/>
  <c r="F14" i="41"/>
  <c r="F11" i="40" s="1"/>
  <c r="K14" i="41"/>
  <c r="K11" i="40" s="1"/>
  <c r="C14" i="41"/>
  <c r="H8" i="5"/>
  <c r="B37" i="48"/>
  <c r="B38" i="48" s="1"/>
  <c r="B7" i="48"/>
  <c r="H22" i="5"/>
  <c r="B21" i="48"/>
  <c r="H25" i="5"/>
  <c r="B24" i="48"/>
  <c r="H23" i="5"/>
  <c r="B22" i="48"/>
  <c r="C9" i="40"/>
  <c r="O9" i="40" s="1"/>
  <c r="O12" i="41"/>
  <c r="C22" i="47"/>
  <c r="L22" i="47"/>
  <c r="I22" i="47"/>
  <c r="N22" i="47"/>
  <c r="G22" i="47"/>
  <c r="E22" i="47"/>
  <c r="H22" i="47"/>
  <c r="J22" i="47"/>
  <c r="K22" i="47"/>
  <c r="M22" i="47"/>
  <c r="D22" i="47"/>
  <c r="F22" i="47"/>
  <c r="O25" i="47"/>
  <c r="M10" i="41"/>
  <c r="M7" i="40" s="1"/>
  <c r="J10" i="41"/>
  <c r="J7" i="40" s="1"/>
  <c r="L10" i="41"/>
  <c r="L7" i="40" s="1"/>
  <c r="G10" i="41"/>
  <c r="G7" i="40" s="1"/>
  <c r="N10" i="41"/>
  <c r="N7" i="40" s="1"/>
  <c r="D10" i="41"/>
  <c r="D7" i="40" s="1"/>
  <c r="I10" i="41"/>
  <c r="I7" i="40" s="1"/>
  <c r="E10" i="41"/>
  <c r="E7" i="40" s="1"/>
  <c r="F10" i="41"/>
  <c r="F7" i="40" s="1"/>
  <c r="K10" i="41"/>
  <c r="K7" i="40" s="1"/>
  <c r="H10" i="41"/>
  <c r="H7" i="40" s="1"/>
  <c r="C10" i="41"/>
  <c r="I15" i="41"/>
  <c r="I12" i="40" s="1"/>
  <c r="N15" i="41"/>
  <c r="N12" i="40" s="1"/>
  <c r="M15" i="41"/>
  <c r="M12" i="40" s="1"/>
  <c r="J15" i="41"/>
  <c r="J12" i="40" s="1"/>
  <c r="L15" i="41"/>
  <c r="L12" i="40" s="1"/>
  <c r="D15" i="41"/>
  <c r="D12" i="40" s="1"/>
  <c r="G15" i="41"/>
  <c r="G12" i="40" s="1"/>
  <c r="F15" i="41"/>
  <c r="F12" i="40" s="1"/>
  <c r="E15" i="41"/>
  <c r="E12" i="40" s="1"/>
  <c r="H15" i="41"/>
  <c r="H12" i="40" s="1"/>
  <c r="K15" i="41"/>
  <c r="K12" i="40" s="1"/>
  <c r="C15" i="41"/>
  <c r="N13" i="41"/>
  <c r="N10" i="40" s="1"/>
  <c r="M13" i="41"/>
  <c r="M10" i="40" s="1"/>
  <c r="J13" i="41"/>
  <c r="J10" i="40" s="1"/>
  <c r="G13" i="41"/>
  <c r="G10" i="40" s="1"/>
  <c r="L13" i="41"/>
  <c r="L10" i="40" s="1"/>
  <c r="D13" i="41"/>
  <c r="D10" i="40" s="1"/>
  <c r="I13" i="41"/>
  <c r="I10" i="40" s="1"/>
  <c r="H13" i="41"/>
  <c r="H10" i="40" s="1"/>
  <c r="F13" i="41"/>
  <c r="F10" i="40" s="1"/>
  <c r="K13" i="41"/>
  <c r="K10" i="40" s="1"/>
  <c r="E13" i="41"/>
  <c r="E10" i="40" s="1"/>
  <c r="C13" i="41"/>
  <c r="N8" i="41"/>
  <c r="N5" i="40" s="1"/>
  <c r="M8" i="41"/>
  <c r="M5" i="40" s="1"/>
  <c r="L8" i="41"/>
  <c r="L5" i="40" s="1"/>
  <c r="D8" i="41"/>
  <c r="D5" i="40" s="1"/>
  <c r="J8" i="41"/>
  <c r="J5" i="40" s="1"/>
  <c r="G8" i="41"/>
  <c r="G5" i="40" s="1"/>
  <c r="K8" i="41"/>
  <c r="K5" i="40" s="1"/>
  <c r="I8" i="41"/>
  <c r="I5" i="40" s="1"/>
  <c r="E8" i="41"/>
  <c r="E5" i="40" s="1"/>
  <c r="F8" i="41"/>
  <c r="F5" i="40" s="1"/>
  <c r="H8" i="41"/>
  <c r="H5" i="40" s="1"/>
  <c r="C8" i="41"/>
  <c r="M26" i="41"/>
  <c r="M23" i="40" s="1"/>
  <c r="J26" i="41"/>
  <c r="J23" i="40" s="1"/>
  <c r="L26" i="41"/>
  <c r="L23" i="40" s="1"/>
  <c r="G26" i="41"/>
  <c r="G23" i="40" s="1"/>
  <c r="N26" i="41"/>
  <c r="N23" i="40" s="1"/>
  <c r="D26" i="41"/>
  <c r="D23" i="40" s="1"/>
  <c r="I26" i="41"/>
  <c r="I23" i="40" s="1"/>
  <c r="F26" i="41"/>
  <c r="F23" i="40" s="1"/>
  <c r="K26" i="41"/>
  <c r="K23" i="40" s="1"/>
  <c r="H26" i="41"/>
  <c r="H23" i="40" s="1"/>
  <c r="E26" i="41"/>
  <c r="E23" i="40" s="1"/>
  <c r="C26" i="41"/>
  <c r="H21" i="5"/>
  <c r="B20" i="48"/>
  <c r="H11" i="5"/>
  <c r="G42" i="5" s="1"/>
  <c r="B10" i="48"/>
  <c r="H14" i="5"/>
  <c r="B13" i="48"/>
  <c r="H20" i="5"/>
  <c r="L20" i="5" s="1"/>
  <c r="B19" i="48"/>
  <c r="H19" i="5"/>
  <c r="B18" i="48"/>
  <c r="H17" i="5"/>
  <c r="G48" i="5" s="1"/>
  <c r="B16" i="48"/>
  <c r="B8" i="48"/>
  <c r="M20" i="41"/>
  <c r="M17" i="40" s="1"/>
  <c r="D20" i="41"/>
  <c r="D17" i="40" s="1"/>
  <c r="G20" i="41"/>
  <c r="G17" i="40" s="1"/>
  <c r="L20" i="41"/>
  <c r="L17" i="40" s="1"/>
  <c r="J20" i="41"/>
  <c r="J17" i="40" s="1"/>
  <c r="N20" i="41"/>
  <c r="N17" i="40" s="1"/>
  <c r="I20" i="41"/>
  <c r="I17" i="40" s="1"/>
  <c r="F20" i="41"/>
  <c r="F17" i="40" s="1"/>
  <c r="H20" i="41"/>
  <c r="H17" i="40" s="1"/>
  <c r="K20" i="41"/>
  <c r="K17" i="40" s="1"/>
  <c r="E20" i="41"/>
  <c r="E17" i="40" s="1"/>
  <c r="C20" i="41"/>
  <c r="L19" i="41"/>
  <c r="L16" i="40" s="1"/>
  <c r="N19" i="41"/>
  <c r="N16" i="40" s="1"/>
  <c r="M19" i="41"/>
  <c r="M16" i="40" s="1"/>
  <c r="D19" i="41"/>
  <c r="D16" i="40" s="1"/>
  <c r="G19" i="41"/>
  <c r="G16" i="40" s="1"/>
  <c r="J19" i="41"/>
  <c r="J16" i="40" s="1"/>
  <c r="K19" i="41"/>
  <c r="K16" i="40" s="1"/>
  <c r="F19" i="41"/>
  <c r="F16" i="40" s="1"/>
  <c r="E19" i="41"/>
  <c r="E16" i="40" s="1"/>
  <c r="I19" i="41"/>
  <c r="I16" i="40" s="1"/>
  <c r="H19" i="41"/>
  <c r="H16" i="40" s="1"/>
  <c r="C19" i="41"/>
  <c r="L17" i="41"/>
  <c r="L14" i="40" s="1"/>
  <c r="D17" i="41"/>
  <c r="D14" i="40" s="1"/>
  <c r="I17" i="41"/>
  <c r="I14" i="40" s="1"/>
  <c r="N17" i="41"/>
  <c r="N14" i="40" s="1"/>
  <c r="M17" i="41"/>
  <c r="M14" i="40" s="1"/>
  <c r="J17" i="41"/>
  <c r="J14" i="40" s="1"/>
  <c r="G17" i="41"/>
  <c r="G14" i="40" s="1"/>
  <c r="H17" i="41"/>
  <c r="H14" i="40" s="1"/>
  <c r="E17" i="41"/>
  <c r="E14" i="40" s="1"/>
  <c r="F17" i="41"/>
  <c r="F14" i="40" s="1"/>
  <c r="K17" i="41"/>
  <c r="K14" i="40" s="1"/>
  <c r="C17" i="41"/>
  <c r="J22" i="41"/>
  <c r="J19" i="40" s="1"/>
  <c r="L22" i="41"/>
  <c r="L19" i="40" s="1"/>
  <c r="G22" i="41"/>
  <c r="G19" i="40" s="1"/>
  <c r="N22" i="41"/>
  <c r="N19" i="40" s="1"/>
  <c r="D22" i="41"/>
  <c r="D19" i="40" s="1"/>
  <c r="M22" i="41"/>
  <c r="M19" i="40" s="1"/>
  <c r="K22" i="41"/>
  <c r="K19" i="40" s="1"/>
  <c r="I22" i="41"/>
  <c r="I19" i="40" s="1"/>
  <c r="H22" i="41"/>
  <c r="H19" i="40" s="1"/>
  <c r="E22" i="41"/>
  <c r="E19" i="40" s="1"/>
  <c r="F22" i="41"/>
  <c r="F19" i="40" s="1"/>
  <c r="C22" i="41"/>
  <c r="L11" i="48"/>
  <c r="H11" i="48"/>
  <c r="E11" i="48"/>
  <c r="K11" i="48"/>
  <c r="C11" i="48"/>
  <c r="F11" i="48"/>
  <c r="M11" i="48"/>
  <c r="J11" i="48"/>
  <c r="G11" i="48"/>
  <c r="N11" i="48"/>
  <c r="I11" i="48"/>
  <c r="D11" i="48"/>
  <c r="H16" i="5"/>
  <c r="G47" i="5" s="1"/>
  <c r="B15" i="48"/>
  <c r="H27" i="5"/>
  <c r="B26" i="48"/>
  <c r="H18" i="5"/>
  <c r="L18" i="5" s="1"/>
  <c r="B17" i="48"/>
  <c r="G24" i="41"/>
  <c r="G21" i="40" s="1"/>
  <c r="M24" i="41"/>
  <c r="M21" i="40" s="1"/>
  <c r="L24" i="41"/>
  <c r="L21" i="40" s="1"/>
  <c r="D24" i="41"/>
  <c r="D21" i="40" s="1"/>
  <c r="N24" i="41"/>
  <c r="N21" i="40" s="1"/>
  <c r="J24" i="41"/>
  <c r="J21" i="40" s="1"/>
  <c r="H24" i="41"/>
  <c r="H21" i="40" s="1"/>
  <c r="K24" i="41"/>
  <c r="K21" i="40" s="1"/>
  <c r="I24" i="41"/>
  <c r="I21" i="40" s="1"/>
  <c r="E24" i="41"/>
  <c r="E21" i="40" s="1"/>
  <c r="F24" i="41"/>
  <c r="F21" i="40" s="1"/>
  <c r="C24" i="41"/>
  <c r="C12" i="47"/>
  <c r="M12" i="47"/>
  <c r="K12" i="47"/>
  <c r="G12" i="47"/>
  <c r="F12" i="47"/>
  <c r="L12" i="47"/>
  <c r="E12" i="47"/>
  <c r="D12" i="47"/>
  <c r="J12" i="47"/>
  <c r="N12" i="47"/>
  <c r="B27" i="47"/>
  <c r="H12" i="47"/>
  <c r="I12" i="47"/>
  <c r="F23" i="4"/>
  <c r="G23" i="4" s="1"/>
  <c r="F23" i="22"/>
  <c r="F21" i="4"/>
  <c r="F11" i="4"/>
  <c r="C23" i="13"/>
  <c r="D23" i="13" s="1"/>
  <c r="F21" i="22"/>
  <c r="C21" i="14"/>
  <c r="D21" i="14" s="1"/>
  <c r="F25" i="4"/>
  <c r="C25" i="14"/>
  <c r="D25" i="14" s="1"/>
  <c r="F13" i="22"/>
  <c r="G13" i="22"/>
  <c r="F27" i="22"/>
  <c r="G27" i="22"/>
  <c r="F19" i="22"/>
  <c r="G19" i="22"/>
  <c r="F24" i="22"/>
  <c r="G24" i="22"/>
  <c r="F12" i="22"/>
  <c r="G12" i="22"/>
  <c r="F15" i="22"/>
  <c r="G15" i="22"/>
  <c r="F9" i="22"/>
  <c r="G9" i="22"/>
  <c r="F26" i="22"/>
  <c r="G26" i="22"/>
  <c r="F11" i="22"/>
  <c r="G11" i="22"/>
  <c r="F8" i="22"/>
  <c r="G8" i="22"/>
  <c r="E28" i="22"/>
  <c r="F20" i="22"/>
  <c r="G20" i="22"/>
  <c r="F17" i="22"/>
  <c r="G17" i="22"/>
  <c r="C11" i="13"/>
  <c r="D11" i="13" s="1"/>
  <c r="F25" i="22"/>
  <c r="G25" i="22"/>
  <c r="F18" i="22"/>
  <c r="G18" i="22"/>
  <c r="F16" i="22"/>
  <c r="G16" i="22"/>
  <c r="F22" i="22"/>
  <c r="G22" i="22"/>
  <c r="F14" i="22"/>
  <c r="G14" i="22"/>
  <c r="C11" i="14"/>
  <c r="D11" i="14" s="1"/>
  <c r="C25" i="13"/>
  <c r="D25" i="13" s="1"/>
  <c r="L14" i="5"/>
  <c r="AD21" i="3"/>
  <c r="G21" i="7"/>
  <c r="H21" i="7" s="1"/>
  <c r="AE21" i="3" s="1"/>
  <c r="AD19" i="3"/>
  <c r="G19" i="7"/>
  <c r="H19" i="7" s="1"/>
  <c r="AE19" i="3" s="1"/>
  <c r="AD9" i="3"/>
  <c r="G9" i="7"/>
  <c r="AD25" i="3"/>
  <c r="G25" i="7"/>
  <c r="H25" i="7" s="1"/>
  <c r="AE25" i="3" s="1"/>
  <c r="AD23" i="3"/>
  <c r="G23" i="7"/>
  <c r="H23" i="7" s="1"/>
  <c r="AE23" i="3" s="1"/>
  <c r="AD18" i="3"/>
  <c r="G18" i="7"/>
  <c r="H18" i="7" s="1"/>
  <c r="AE18" i="3" s="1"/>
  <c r="AD20" i="3"/>
  <c r="G20" i="7"/>
  <c r="H20" i="7" s="1"/>
  <c r="AE20" i="3" s="1"/>
  <c r="AD13" i="3"/>
  <c r="G13" i="7"/>
  <c r="H13" i="7" s="1"/>
  <c r="AE13" i="3" s="1"/>
  <c r="AD11" i="3"/>
  <c r="G11" i="7"/>
  <c r="H11" i="7" s="1"/>
  <c r="AE11" i="3" s="1"/>
  <c r="AD27" i="3"/>
  <c r="G27" i="7"/>
  <c r="H27" i="7" s="1"/>
  <c r="AE27" i="3" s="1"/>
  <c r="AD16" i="3"/>
  <c r="G16" i="7"/>
  <c r="H16" i="7" s="1"/>
  <c r="AE16" i="3" s="1"/>
  <c r="AD12" i="3"/>
  <c r="G12" i="7"/>
  <c r="H12" i="7" s="1"/>
  <c r="AE12" i="3" s="1"/>
  <c r="AD17" i="3"/>
  <c r="G17" i="7"/>
  <c r="H17" i="7" s="1"/>
  <c r="AE17" i="3" s="1"/>
  <c r="AD15" i="3"/>
  <c r="G15" i="7"/>
  <c r="H15" i="7" s="1"/>
  <c r="AE15" i="3" s="1"/>
  <c r="AD10" i="3"/>
  <c r="G10" i="7"/>
  <c r="H10" i="7" s="1"/>
  <c r="AE10" i="3" s="1"/>
  <c r="AD28" i="3"/>
  <c r="G28" i="7"/>
  <c r="H28" i="7" s="1"/>
  <c r="AE28" i="3" s="1"/>
  <c r="AD22" i="3"/>
  <c r="G22" i="7"/>
  <c r="H22" i="7" s="1"/>
  <c r="AE22" i="3" s="1"/>
  <c r="AD24" i="3"/>
  <c r="G24" i="7"/>
  <c r="H24" i="7" s="1"/>
  <c r="AE24" i="3" s="1"/>
  <c r="AD26" i="3"/>
  <c r="G26" i="7"/>
  <c r="H26" i="7" s="1"/>
  <c r="AE26" i="3" s="1"/>
  <c r="F13" i="4"/>
  <c r="C13" i="14"/>
  <c r="D13" i="14" s="1"/>
  <c r="C13" i="13"/>
  <c r="D13" i="13" s="1"/>
  <c r="F8" i="4"/>
  <c r="C8" i="14"/>
  <c r="D8" i="14" s="1"/>
  <c r="C8" i="13"/>
  <c r="F22" i="4"/>
  <c r="C22" i="14"/>
  <c r="D22" i="14" s="1"/>
  <c r="C22" i="13"/>
  <c r="D22" i="13" s="1"/>
  <c r="F14" i="4"/>
  <c r="C14" i="14"/>
  <c r="D14" i="14" s="1"/>
  <c r="C14" i="13"/>
  <c r="D14" i="13" s="1"/>
  <c r="G21" i="4"/>
  <c r="F20" i="4"/>
  <c r="C20" i="14"/>
  <c r="D20" i="14" s="1"/>
  <c r="C20" i="13"/>
  <c r="D20" i="13" s="1"/>
  <c r="F18" i="4"/>
  <c r="C18" i="14"/>
  <c r="D18" i="14" s="1"/>
  <c r="C18" i="13"/>
  <c r="D18" i="13" s="1"/>
  <c r="F16" i="4"/>
  <c r="C16" i="14"/>
  <c r="D16" i="14" s="1"/>
  <c r="C16" i="13"/>
  <c r="D16" i="13" s="1"/>
  <c r="F24" i="4"/>
  <c r="C24" i="14"/>
  <c r="D24" i="14" s="1"/>
  <c r="C24" i="13"/>
  <c r="D24" i="13" s="1"/>
  <c r="F12" i="4"/>
  <c r="C12" i="14"/>
  <c r="D12" i="14" s="1"/>
  <c r="C12" i="13"/>
  <c r="D12" i="13" s="1"/>
  <c r="G11" i="4"/>
  <c r="F9" i="4"/>
  <c r="C9" i="14"/>
  <c r="D9" i="14" s="1"/>
  <c r="C9" i="13"/>
  <c r="D9" i="13" s="1"/>
  <c r="F17" i="4"/>
  <c r="C17" i="14"/>
  <c r="D17" i="14" s="1"/>
  <c r="C17" i="13"/>
  <c r="D17" i="13" s="1"/>
  <c r="F15" i="4"/>
  <c r="C15" i="14"/>
  <c r="D15" i="14" s="1"/>
  <c r="C15" i="13"/>
  <c r="D15" i="13" s="1"/>
  <c r="F27" i="4"/>
  <c r="C27" i="14"/>
  <c r="D27" i="14" s="1"/>
  <c r="C27" i="13"/>
  <c r="D27" i="13" s="1"/>
  <c r="F19" i="4"/>
  <c r="C19" i="14"/>
  <c r="D19" i="14" s="1"/>
  <c r="C19" i="13"/>
  <c r="D19" i="13" s="1"/>
  <c r="F26" i="4"/>
  <c r="C26" i="14"/>
  <c r="D26" i="14" s="1"/>
  <c r="C26" i="13"/>
  <c r="D26" i="13" s="1"/>
  <c r="G10" i="4"/>
  <c r="G25" i="4"/>
  <c r="R12" i="5"/>
  <c r="S12" i="5" s="1"/>
  <c r="U13" i="3" s="1"/>
  <c r="H12" i="5"/>
  <c r="R25" i="5"/>
  <c r="S25" i="5" s="1"/>
  <c r="U26" i="3" s="1"/>
  <c r="K25" i="5"/>
  <c r="V28" i="5"/>
  <c r="X28" i="5"/>
  <c r="AG24" i="5"/>
  <c r="AH24" i="5" s="1"/>
  <c r="AG22" i="5"/>
  <c r="AH22" i="5" s="1"/>
  <c r="R23" i="5"/>
  <c r="S23" i="5" s="1"/>
  <c r="U24" i="3" s="1"/>
  <c r="AG15" i="5"/>
  <c r="AH15" i="5" s="1"/>
  <c r="R24" i="5"/>
  <c r="S24" i="5" s="1"/>
  <c r="U25" i="3" s="1"/>
  <c r="J28" i="4"/>
  <c r="K20" i="4" s="1"/>
  <c r="F22" i="8"/>
  <c r="H22" i="8" s="1"/>
  <c r="F21" i="8"/>
  <c r="H21" i="8" s="1"/>
  <c r="F17" i="8"/>
  <c r="H17" i="8" s="1"/>
  <c r="F26" i="8"/>
  <c r="H26" i="8" s="1"/>
  <c r="F19" i="8"/>
  <c r="H19" i="8" s="1"/>
  <c r="F15" i="8"/>
  <c r="H15" i="8" s="1"/>
  <c r="F23" i="8"/>
  <c r="H23" i="8" s="1"/>
  <c r="F24" i="8"/>
  <c r="H24" i="8" s="1"/>
  <c r="F16" i="8"/>
  <c r="H16" i="8" s="1"/>
  <c r="F10" i="8"/>
  <c r="H10" i="8" s="1"/>
  <c r="F12" i="8"/>
  <c r="H12" i="8" s="1"/>
  <c r="F20" i="8"/>
  <c r="H20" i="8" s="1"/>
  <c r="F27" i="8"/>
  <c r="H27" i="8" s="1"/>
  <c r="F9" i="8"/>
  <c r="H9" i="8" s="1"/>
  <c r="F14" i="8"/>
  <c r="H14" i="8" s="1"/>
  <c r="F8" i="8"/>
  <c r="H8" i="8" s="1"/>
  <c r="F25" i="8"/>
  <c r="H25" i="8" s="1"/>
  <c r="F13" i="8"/>
  <c r="H13" i="8" s="1"/>
  <c r="F18" i="8"/>
  <c r="H18" i="8" s="1"/>
  <c r="R16" i="5"/>
  <c r="S16" i="5" s="1"/>
  <c r="U17" i="3" s="1"/>
  <c r="G45" i="5"/>
  <c r="H45" i="5" s="1"/>
  <c r="R15" i="5"/>
  <c r="S15" i="5" s="1"/>
  <c r="U16" i="3" s="1"/>
  <c r="AG28" i="5"/>
  <c r="AH28" i="5" s="1"/>
  <c r="AG14" i="5"/>
  <c r="AH14" i="5" s="1"/>
  <c r="R14" i="5"/>
  <c r="S14" i="5" s="1"/>
  <c r="U15" i="3" s="1"/>
  <c r="AG11" i="5"/>
  <c r="AH11" i="5" s="1"/>
  <c r="AG25" i="5"/>
  <c r="AH25" i="5" s="1"/>
  <c r="AG12" i="5"/>
  <c r="AH12" i="5" s="1"/>
  <c r="E28" i="4"/>
  <c r="AG16" i="5"/>
  <c r="AH16" i="5" s="1"/>
  <c r="R20" i="5"/>
  <c r="S20" i="5" s="1"/>
  <c r="U21" i="3" s="1"/>
  <c r="R26" i="5"/>
  <c r="S26" i="5" s="1"/>
  <c r="U27" i="3" s="1"/>
  <c r="R11" i="5"/>
  <c r="S11" i="5" s="1"/>
  <c r="U12" i="3" s="1"/>
  <c r="AG26" i="5"/>
  <c r="AH26" i="5" s="1"/>
  <c r="AG10" i="5"/>
  <c r="AH10" i="5" s="1"/>
  <c r="AG23" i="5"/>
  <c r="AH23" i="5" s="1"/>
  <c r="AG20" i="5"/>
  <c r="AH20" i="5" s="1"/>
  <c r="R21" i="5"/>
  <c r="S21" i="5" s="1"/>
  <c r="U22" i="3" s="1"/>
  <c r="F29" i="7"/>
  <c r="L22" i="5"/>
  <c r="G53" i="5"/>
  <c r="R9" i="5"/>
  <c r="S9" i="5" s="1"/>
  <c r="U10" i="3" s="1"/>
  <c r="AG9" i="5"/>
  <c r="AH9" i="5" s="1"/>
  <c r="AG17" i="5"/>
  <c r="AH17" i="5" s="1"/>
  <c r="AG8" i="5"/>
  <c r="AH8" i="5" s="1"/>
  <c r="R19" i="5"/>
  <c r="S19" i="5" s="1"/>
  <c r="U20" i="3" s="1"/>
  <c r="R27" i="5"/>
  <c r="S27" i="5" s="1"/>
  <c r="U28" i="3" s="1"/>
  <c r="R18" i="5"/>
  <c r="S18" i="5" s="1"/>
  <c r="U19" i="3" s="1"/>
  <c r="AG13" i="5"/>
  <c r="AH13" i="5" s="1"/>
  <c r="R13" i="5"/>
  <c r="S13" i="5" s="1"/>
  <c r="U14" i="3" s="1"/>
  <c r="R17" i="5"/>
  <c r="S17" i="5" s="1"/>
  <c r="U18" i="3" s="1"/>
  <c r="G50" i="5"/>
  <c r="L19" i="5"/>
  <c r="R22" i="5"/>
  <c r="S22" i="5" s="1"/>
  <c r="U23" i="3" s="1"/>
  <c r="G46" i="5"/>
  <c r="G52" i="5"/>
  <c r="L21" i="5"/>
  <c r="G39" i="5"/>
  <c r="L8" i="5"/>
  <c r="AG19" i="5"/>
  <c r="AH19" i="5" s="1"/>
  <c r="G49" i="5"/>
  <c r="G41" i="5"/>
  <c r="L10" i="5"/>
  <c r="L27" i="5"/>
  <c r="G58" i="5"/>
  <c r="L26" i="5"/>
  <c r="G57" i="5"/>
  <c r="L16" i="5"/>
  <c r="G54" i="5"/>
  <c r="L23" i="5"/>
  <c r="AG21" i="5"/>
  <c r="AH21" i="5" s="1"/>
  <c r="R8" i="5"/>
  <c r="AG27" i="5"/>
  <c r="AH27" i="5" s="1"/>
  <c r="AG18" i="5"/>
  <c r="AH18" i="5" s="1"/>
  <c r="R10" i="5"/>
  <c r="S10" i="5" s="1"/>
  <c r="U11" i="3" s="1"/>
  <c r="J26" i="65" l="1"/>
  <c r="K26" i="65" s="1"/>
  <c r="J17" i="65"/>
  <c r="K17" i="65" s="1"/>
  <c r="J21" i="65"/>
  <c r="K21" i="65" s="1"/>
  <c r="J28" i="65"/>
  <c r="K28" i="65" s="1"/>
  <c r="J22" i="65"/>
  <c r="K22" i="65" s="1"/>
  <c r="J16" i="65"/>
  <c r="K16" i="65" s="1"/>
  <c r="J25" i="65"/>
  <c r="K25" i="65" s="1"/>
  <c r="J13" i="65"/>
  <c r="K13" i="65" s="1"/>
  <c r="J15" i="65"/>
  <c r="K15" i="65" s="1"/>
  <c r="J23" i="65"/>
  <c r="K23" i="65" s="1"/>
  <c r="J14" i="65"/>
  <c r="K14" i="65" s="1"/>
  <c r="J20" i="65"/>
  <c r="K20" i="65" s="1"/>
  <c r="J12" i="65"/>
  <c r="K12" i="65" s="1"/>
  <c r="J19" i="65"/>
  <c r="K19" i="65" s="1"/>
  <c r="J27" i="65"/>
  <c r="K27" i="65" s="1"/>
  <c r="L18" i="65"/>
  <c r="M18" i="65" s="1"/>
  <c r="N18" i="65"/>
  <c r="O18" i="65" s="1"/>
  <c r="L24" i="65"/>
  <c r="M24" i="65" s="1"/>
  <c r="N24" i="65"/>
  <c r="O24" i="65" s="1"/>
  <c r="J10" i="65"/>
  <c r="K10" i="65" s="1"/>
  <c r="J11" i="65"/>
  <c r="K11" i="65" s="1"/>
  <c r="J9" i="65"/>
  <c r="L24" i="5"/>
  <c r="G56" i="5"/>
  <c r="H56" i="5" s="1"/>
  <c r="G51" i="5"/>
  <c r="H51" i="5" s="1"/>
  <c r="L17" i="5"/>
  <c r="L11" i="5"/>
  <c r="Z25" i="5"/>
  <c r="K28" i="5"/>
  <c r="O19" i="5" s="1"/>
  <c r="I27" i="47"/>
  <c r="J27" i="47"/>
  <c r="F27" i="47"/>
  <c r="C27" i="47"/>
  <c r="O12" i="47"/>
  <c r="I8" i="46"/>
  <c r="I8" i="57"/>
  <c r="M8" i="57"/>
  <c r="M8" i="46"/>
  <c r="E8" i="57"/>
  <c r="E8" i="46"/>
  <c r="H18" i="48"/>
  <c r="L18" i="48"/>
  <c r="M18" i="48"/>
  <c r="J18" i="48"/>
  <c r="K18" i="48"/>
  <c r="F18" i="48"/>
  <c r="C18" i="48"/>
  <c r="E18" i="48"/>
  <c r="D18" i="48"/>
  <c r="G18" i="48"/>
  <c r="N18" i="48"/>
  <c r="I18" i="48"/>
  <c r="H13" i="48"/>
  <c r="L13" i="48"/>
  <c r="K13" i="48"/>
  <c r="C13" i="48"/>
  <c r="E13" i="48"/>
  <c r="G13" i="48"/>
  <c r="M13" i="48"/>
  <c r="J13" i="48"/>
  <c r="D13" i="48"/>
  <c r="F13" i="48"/>
  <c r="N13" i="48"/>
  <c r="I13" i="48"/>
  <c r="L20" i="48"/>
  <c r="H20" i="48"/>
  <c r="K20" i="48"/>
  <c r="F20" i="48"/>
  <c r="C20" i="48"/>
  <c r="E20" i="48"/>
  <c r="M20" i="48"/>
  <c r="J20" i="48"/>
  <c r="N20" i="48"/>
  <c r="G20" i="48"/>
  <c r="D20" i="48"/>
  <c r="I20" i="48"/>
  <c r="H24" i="48"/>
  <c r="L24" i="48"/>
  <c r="C24" i="48"/>
  <c r="G24" i="48"/>
  <c r="E24" i="48"/>
  <c r="M24" i="48"/>
  <c r="J24" i="48"/>
  <c r="K24" i="48"/>
  <c r="F24" i="48"/>
  <c r="I24" i="48"/>
  <c r="N24" i="48"/>
  <c r="D24" i="48"/>
  <c r="B27" i="48"/>
  <c r="H7" i="48"/>
  <c r="L7" i="48"/>
  <c r="K7" i="48"/>
  <c r="M7" i="48"/>
  <c r="E7" i="48"/>
  <c r="J7" i="48"/>
  <c r="C7" i="48"/>
  <c r="G7" i="48"/>
  <c r="F7" i="48"/>
  <c r="D7" i="48"/>
  <c r="N7" i="48"/>
  <c r="I7" i="48"/>
  <c r="C4" i="40"/>
  <c r="O7" i="41"/>
  <c r="E4" i="40"/>
  <c r="E24" i="40" s="1"/>
  <c r="M4" i="40"/>
  <c r="M24" i="40" s="1"/>
  <c r="H27" i="47"/>
  <c r="D27" i="47"/>
  <c r="G27" i="47"/>
  <c r="C21" i="40"/>
  <c r="O21" i="40" s="1"/>
  <c r="O24" i="41"/>
  <c r="L17" i="48"/>
  <c r="L14" i="46" s="1"/>
  <c r="H17" i="48"/>
  <c r="H14" i="46" s="1"/>
  <c r="F17" i="48"/>
  <c r="F14" i="57" s="1"/>
  <c r="C17" i="48"/>
  <c r="C14" i="46" s="1"/>
  <c r="E17" i="48"/>
  <c r="E14" i="57" s="1"/>
  <c r="M17" i="48"/>
  <c r="M14" i="57" s="1"/>
  <c r="J17" i="48"/>
  <c r="J14" i="57" s="1"/>
  <c r="G17" i="48"/>
  <c r="G14" i="57" s="1"/>
  <c r="K17" i="48"/>
  <c r="K14" i="57" s="1"/>
  <c r="N17" i="48"/>
  <c r="N14" i="57" s="1"/>
  <c r="I17" i="48"/>
  <c r="I14" i="46" s="1"/>
  <c r="D17" i="48"/>
  <c r="D14" i="46" s="1"/>
  <c r="L15" i="48"/>
  <c r="H15" i="48"/>
  <c r="M15" i="48"/>
  <c r="J15" i="48"/>
  <c r="K15" i="48"/>
  <c r="E15" i="48"/>
  <c r="C15" i="48"/>
  <c r="G15" i="48"/>
  <c r="F15" i="48"/>
  <c r="D15" i="48"/>
  <c r="I15" i="48"/>
  <c r="N15" i="48"/>
  <c r="N8" i="46"/>
  <c r="N8" i="57"/>
  <c r="F8" i="57"/>
  <c r="F8" i="46"/>
  <c r="H8" i="46"/>
  <c r="H8" i="57"/>
  <c r="C15" i="40"/>
  <c r="O15" i="40" s="1"/>
  <c r="O18" i="41"/>
  <c r="L14" i="48"/>
  <c r="H14" i="48"/>
  <c r="J14" i="48"/>
  <c r="K14" i="48"/>
  <c r="C14" i="48"/>
  <c r="G14" i="48"/>
  <c r="F14" i="48"/>
  <c r="E14" i="48"/>
  <c r="M14" i="48"/>
  <c r="N14" i="48"/>
  <c r="D14" i="48"/>
  <c r="I14" i="48"/>
  <c r="L23" i="48"/>
  <c r="K23" i="48"/>
  <c r="M23" i="48"/>
  <c r="C23" i="48"/>
  <c r="H23" i="48"/>
  <c r="E23" i="48"/>
  <c r="J23" i="48"/>
  <c r="G23" i="48"/>
  <c r="F23" i="48"/>
  <c r="D23" i="48"/>
  <c r="I23" i="48"/>
  <c r="N23" i="48"/>
  <c r="L12" i="48"/>
  <c r="L9" i="46" s="1"/>
  <c r="E12" i="48"/>
  <c r="E9" i="57" s="1"/>
  <c r="M12" i="48"/>
  <c r="M9" i="46" s="1"/>
  <c r="J12" i="48"/>
  <c r="J9" i="57" s="1"/>
  <c r="H12" i="48"/>
  <c r="H9" i="46" s="1"/>
  <c r="K12" i="48"/>
  <c r="K9" i="57" s="1"/>
  <c r="C12" i="48"/>
  <c r="G12" i="48"/>
  <c r="G9" i="46" s="1"/>
  <c r="D12" i="48"/>
  <c r="D9" i="57" s="1"/>
  <c r="F12" i="48"/>
  <c r="F9" i="57" s="1"/>
  <c r="N12" i="48"/>
  <c r="N9" i="46" s="1"/>
  <c r="I12" i="48"/>
  <c r="I9" i="57" s="1"/>
  <c r="F4" i="40"/>
  <c r="F24" i="40" s="1"/>
  <c r="H4" i="40"/>
  <c r="H24" i="40" s="1"/>
  <c r="N4" i="40"/>
  <c r="N24" i="40" s="1"/>
  <c r="E27" i="47"/>
  <c r="K27" i="47"/>
  <c r="G8" i="57"/>
  <c r="G8" i="46"/>
  <c r="C8" i="57"/>
  <c r="C8" i="46"/>
  <c r="O11" i="48"/>
  <c r="L8" i="46"/>
  <c r="L8" i="57"/>
  <c r="L16" i="48"/>
  <c r="M16" i="48"/>
  <c r="H16" i="48"/>
  <c r="K16" i="48"/>
  <c r="C16" i="48"/>
  <c r="G16" i="48"/>
  <c r="E16" i="48"/>
  <c r="J16" i="48"/>
  <c r="F16" i="48"/>
  <c r="I16" i="48"/>
  <c r="D16" i="48"/>
  <c r="N16" i="48"/>
  <c r="H19" i="48"/>
  <c r="L19" i="48"/>
  <c r="J19" i="48"/>
  <c r="M19" i="48"/>
  <c r="K19" i="48"/>
  <c r="E19" i="48"/>
  <c r="C19" i="48"/>
  <c r="G19" i="48"/>
  <c r="F19" i="48"/>
  <c r="N19" i="48"/>
  <c r="I19" i="48"/>
  <c r="D19" i="48"/>
  <c r="H10" i="48"/>
  <c r="L10" i="48"/>
  <c r="M10" i="48"/>
  <c r="E10" i="48"/>
  <c r="J10" i="48"/>
  <c r="K10" i="48"/>
  <c r="C10" i="48"/>
  <c r="G10" i="48"/>
  <c r="F10" i="48"/>
  <c r="D10" i="48"/>
  <c r="I10" i="48"/>
  <c r="N10" i="48"/>
  <c r="C23" i="40"/>
  <c r="O23" i="40" s="1"/>
  <c r="O26" i="41"/>
  <c r="C5" i="40"/>
  <c r="O5" i="40" s="1"/>
  <c r="O8" i="41"/>
  <c r="C10" i="40"/>
  <c r="O10" i="40" s="1"/>
  <c r="O13" i="41"/>
  <c r="C12" i="40"/>
  <c r="O12" i="40" s="1"/>
  <c r="O15" i="41"/>
  <c r="C7" i="40"/>
  <c r="O7" i="40" s="1"/>
  <c r="O10" i="41"/>
  <c r="O22" i="47"/>
  <c r="L22" i="48"/>
  <c r="L19" i="57" s="1"/>
  <c r="H22" i="48"/>
  <c r="H19" i="46" s="1"/>
  <c r="E22" i="48"/>
  <c r="E19" i="57" s="1"/>
  <c r="C22" i="48"/>
  <c r="G22" i="48"/>
  <c r="G19" i="57" s="1"/>
  <c r="F22" i="48"/>
  <c r="F19" i="57" s="1"/>
  <c r="M22" i="48"/>
  <c r="M19" i="46" s="1"/>
  <c r="J22" i="48"/>
  <c r="J19" i="57" s="1"/>
  <c r="K22" i="48"/>
  <c r="K19" i="57" s="1"/>
  <c r="D22" i="48"/>
  <c r="D19" i="57" s="1"/>
  <c r="I22" i="48"/>
  <c r="I19" i="46" s="1"/>
  <c r="N22" i="48"/>
  <c r="N19" i="46" s="1"/>
  <c r="H21" i="48"/>
  <c r="L21" i="48"/>
  <c r="G21" i="48"/>
  <c r="J21" i="48"/>
  <c r="E21" i="48"/>
  <c r="C21" i="48"/>
  <c r="M21" i="48"/>
  <c r="K21" i="48"/>
  <c r="F21" i="48"/>
  <c r="N21" i="48"/>
  <c r="I21" i="48"/>
  <c r="D21" i="48"/>
  <c r="I4" i="40"/>
  <c r="I24" i="40" s="1"/>
  <c r="G4" i="40"/>
  <c r="G24" i="40" s="1"/>
  <c r="L4" i="40"/>
  <c r="L24" i="40" s="1"/>
  <c r="N27" i="47"/>
  <c r="L27" i="47"/>
  <c r="M27" i="47"/>
  <c r="L26" i="48"/>
  <c r="H26" i="48"/>
  <c r="M26" i="48"/>
  <c r="J26" i="48"/>
  <c r="K26" i="48"/>
  <c r="F26" i="48"/>
  <c r="E26" i="48"/>
  <c r="C26" i="48"/>
  <c r="G26" i="48"/>
  <c r="N26" i="48"/>
  <c r="D26" i="48"/>
  <c r="I26" i="48"/>
  <c r="D8" i="57"/>
  <c r="D8" i="46"/>
  <c r="J8" i="57"/>
  <c r="J8" i="46"/>
  <c r="K8" i="46"/>
  <c r="K8" i="57"/>
  <c r="O22" i="41"/>
  <c r="C19" i="40"/>
  <c r="O19" i="40" s="1"/>
  <c r="C14" i="40"/>
  <c r="O14" i="40" s="1"/>
  <c r="O17" i="41"/>
  <c r="O19" i="41"/>
  <c r="C16" i="40"/>
  <c r="O16" i="40" s="1"/>
  <c r="C17" i="40"/>
  <c r="O17" i="40" s="1"/>
  <c r="O20" i="41"/>
  <c r="L8" i="48"/>
  <c r="H8" i="48"/>
  <c r="E8" i="48"/>
  <c r="M8" i="48"/>
  <c r="C8" i="48"/>
  <c r="G8" i="48"/>
  <c r="J8" i="48"/>
  <c r="K8" i="48"/>
  <c r="F8" i="48"/>
  <c r="D8" i="48"/>
  <c r="I8" i="48"/>
  <c r="N8" i="48"/>
  <c r="O14" i="41"/>
  <c r="C11" i="40"/>
  <c r="O11" i="40" s="1"/>
  <c r="C22" i="40"/>
  <c r="O22" i="40" s="1"/>
  <c r="O25" i="41"/>
  <c r="O9" i="41"/>
  <c r="C6" i="40"/>
  <c r="O6" i="40" s="1"/>
  <c r="C8" i="40"/>
  <c r="O8" i="40" s="1"/>
  <c r="O11" i="41"/>
  <c r="O17" i="47"/>
  <c r="J25" i="48"/>
  <c r="C25" i="48"/>
  <c r="G25" i="48"/>
  <c r="K25" i="48"/>
  <c r="H25" i="48"/>
  <c r="L25" i="48"/>
  <c r="M25" i="48"/>
  <c r="F25" i="48"/>
  <c r="E25" i="48"/>
  <c r="N25" i="48"/>
  <c r="I25" i="48"/>
  <c r="D25" i="48"/>
  <c r="L9" i="48"/>
  <c r="H9" i="48"/>
  <c r="J9" i="48"/>
  <c r="E9" i="48"/>
  <c r="M9" i="48"/>
  <c r="K9" i="48"/>
  <c r="C9" i="48"/>
  <c r="F9" i="48"/>
  <c r="N9" i="48"/>
  <c r="I9" i="48"/>
  <c r="G9" i="48"/>
  <c r="D9" i="48"/>
  <c r="C13" i="40"/>
  <c r="O13" i="40" s="1"/>
  <c r="O16" i="41"/>
  <c r="C18" i="40"/>
  <c r="O18" i="40" s="1"/>
  <c r="O21" i="41"/>
  <c r="O23" i="41"/>
  <c r="C20" i="40"/>
  <c r="O20" i="40" s="1"/>
  <c r="K4" i="40"/>
  <c r="K24" i="40" s="1"/>
  <c r="D4" i="40"/>
  <c r="D24" i="40" s="1"/>
  <c r="J4" i="40"/>
  <c r="J24" i="40" s="1"/>
  <c r="H28" i="5"/>
  <c r="F28" i="22"/>
  <c r="G28" i="22"/>
  <c r="U25" i="5"/>
  <c r="L25" i="5"/>
  <c r="G20" i="4"/>
  <c r="G15" i="4"/>
  <c r="G17" i="4"/>
  <c r="G12" i="4"/>
  <c r="G14" i="4"/>
  <c r="C28" i="13"/>
  <c r="D8" i="13"/>
  <c r="G22" i="4"/>
  <c r="L20" i="4"/>
  <c r="M20" i="4" s="1"/>
  <c r="E20" i="14"/>
  <c r="F20" i="14" s="1"/>
  <c r="E20" i="13"/>
  <c r="F20" i="13" s="1"/>
  <c r="G27" i="4"/>
  <c r="G18" i="4"/>
  <c r="G26" i="4"/>
  <c r="G9" i="4"/>
  <c r="G24" i="4"/>
  <c r="F28" i="4"/>
  <c r="G19" i="4"/>
  <c r="G16" i="4"/>
  <c r="G8" i="4"/>
  <c r="G13" i="4"/>
  <c r="U20" i="5"/>
  <c r="G43" i="5"/>
  <c r="H43" i="5" s="1"/>
  <c r="L12" i="5"/>
  <c r="Z12" i="5"/>
  <c r="U12" i="5"/>
  <c r="U23" i="5"/>
  <c r="I45" i="5"/>
  <c r="J45" i="5" s="1"/>
  <c r="P17" i="5"/>
  <c r="Z23" i="5"/>
  <c r="U15" i="5"/>
  <c r="U24" i="5"/>
  <c r="Z24" i="5"/>
  <c r="Z15" i="5"/>
  <c r="U11" i="5"/>
  <c r="K8" i="4"/>
  <c r="K14" i="4"/>
  <c r="K18" i="4"/>
  <c r="K16" i="4"/>
  <c r="K22" i="4"/>
  <c r="K11" i="4"/>
  <c r="K19" i="4"/>
  <c r="K17" i="4"/>
  <c r="K27" i="4"/>
  <c r="K23" i="4"/>
  <c r="K13" i="4"/>
  <c r="K24" i="4"/>
  <c r="K25" i="4"/>
  <c r="K12" i="4"/>
  <c r="K21" i="4"/>
  <c r="K9" i="4"/>
  <c r="K26" i="4"/>
  <c r="K10" i="4"/>
  <c r="K15" i="4"/>
  <c r="H28" i="8"/>
  <c r="I28" i="8" s="1"/>
  <c r="F28" i="8"/>
  <c r="U16" i="5"/>
  <c r="Z16" i="5"/>
  <c r="U21" i="5"/>
  <c r="U14" i="5"/>
  <c r="Z14" i="5"/>
  <c r="U26" i="5"/>
  <c r="Z11" i="5"/>
  <c r="Z26" i="5"/>
  <c r="Z21" i="5"/>
  <c r="Z20" i="5"/>
  <c r="Z17" i="5"/>
  <c r="H9" i="7"/>
  <c r="AE9" i="3" s="1"/>
  <c r="G29" i="7"/>
  <c r="H29" i="7" s="1"/>
  <c r="H58" i="5"/>
  <c r="I58" i="5"/>
  <c r="R28" i="5"/>
  <c r="S28" i="5" s="1"/>
  <c r="S8" i="5"/>
  <c r="U9" i="3" s="1"/>
  <c r="H49" i="5"/>
  <c r="I49" i="5"/>
  <c r="H46" i="5"/>
  <c r="I46" i="5"/>
  <c r="Z13" i="5"/>
  <c r="U13" i="5"/>
  <c r="U27" i="5"/>
  <c r="Z27" i="5"/>
  <c r="H53" i="5"/>
  <c r="I53" i="5"/>
  <c r="H57" i="5"/>
  <c r="I57" i="5"/>
  <c r="P25" i="5"/>
  <c r="P24" i="5"/>
  <c r="P22" i="5"/>
  <c r="P20" i="5"/>
  <c r="P16" i="5"/>
  <c r="P15" i="5"/>
  <c r="P27" i="5"/>
  <c r="P9" i="5"/>
  <c r="P8" i="5"/>
  <c r="P10" i="5"/>
  <c r="P11" i="5"/>
  <c r="U18" i="5"/>
  <c r="Z18" i="5"/>
  <c r="H55" i="5"/>
  <c r="I55" i="5"/>
  <c r="H47" i="5"/>
  <c r="I47" i="5"/>
  <c r="I41" i="5"/>
  <c r="H41" i="5"/>
  <c r="H42" i="5"/>
  <c r="I42" i="5"/>
  <c r="U19" i="5"/>
  <c r="Z19" i="5"/>
  <c r="Z9" i="5"/>
  <c r="U9" i="5"/>
  <c r="U10" i="5"/>
  <c r="Z10" i="5"/>
  <c r="H48" i="5"/>
  <c r="I48" i="5"/>
  <c r="H54" i="5"/>
  <c r="I54" i="5"/>
  <c r="H39" i="5"/>
  <c r="I39" i="5"/>
  <c r="H52" i="5"/>
  <c r="I52" i="5"/>
  <c r="U22" i="5"/>
  <c r="Z22" i="5"/>
  <c r="H50" i="5"/>
  <c r="I50" i="5"/>
  <c r="L13" i="5"/>
  <c r="G44" i="5"/>
  <c r="G40" i="5"/>
  <c r="L9" i="5"/>
  <c r="O18" i="5" l="1"/>
  <c r="O21" i="5"/>
  <c r="I51" i="5"/>
  <c r="J51" i="5" s="1"/>
  <c r="K9" i="65"/>
  <c r="J29" i="65"/>
  <c r="L20" i="65"/>
  <c r="M20" i="65" s="1"/>
  <c r="N20" i="65"/>
  <c r="O20" i="65" s="1"/>
  <c r="L13" i="65"/>
  <c r="M13" i="65" s="1"/>
  <c r="N13" i="65"/>
  <c r="O13" i="65" s="1"/>
  <c r="L28" i="65"/>
  <c r="M28" i="65" s="1"/>
  <c r="N28" i="65"/>
  <c r="O28" i="65" s="1"/>
  <c r="L11" i="65"/>
  <c r="M11" i="65" s="1"/>
  <c r="N11" i="65"/>
  <c r="O11" i="65" s="1"/>
  <c r="L27" i="65"/>
  <c r="M27" i="65" s="1"/>
  <c r="N27" i="65"/>
  <c r="O27" i="65" s="1"/>
  <c r="L14" i="65"/>
  <c r="M14" i="65" s="1"/>
  <c r="N14" i="65"/>
  <c r="O14" i="65" s="1"/>
  <c r="L25" i="65"/>
  <c r="M25" i="65" s="1"/>
  <c r="N25" i="65"/>
  <c r="O25" i="65" s="1"/>
  <c r="L21" i="65"/>
  <c r="M21" i="65" s="1"/>
  <c r="N21" i="65"/>
  <c r="O21" i="65" s="1"/>
  <c r="L10" i="65"/>
  <c r="M10" i="65" s="1"/>
  <c r="N10" i="65"/>
  <c r="O10" i="65" s="1"/>
  <c r="L19" i="65"/>
  <c r="M19" i="65" s="1"/>
  <c r="N19" i="65"/>
  <c r="O19" i="65" s="1"/>
  <c r="L23" i="65"/>
  <c r="M23" i="65" s="1"/>
  <c r="N23" i="65"/>
  <c r="O23" i="65" s="1"/>
  <c r="L16" i="65"/>
  <c r="M16" i="65" s="1"/>
  <c r="N16" i="65"/>
  <c r="O16" i="65" s="1"/>
  <c r="L17" i="65"/>
  <c r="M17" i="65" s="1"/>
  <c r="N17" i="65"/>
  <c r="O17" i="65" s="1"/>
  <c r="L12" i="65"/>
  <c r="M12" i="65" s="1"/>
  <c r="N12" i="65"/>
  <c r="O12" i="65" s="1"/>
  <c r="L15" i="65"/>
  <c r="M15" i="65" s="1"/>
  <c r="N15" i="65"/>
  <c r="O15" i="65" s="1"/>
  <c r="L22" i="65"/>
  <c r="M22" i="65" s="1"/>
  <c r="N22" i="65"/>
  <c r="O22" i="65" s="1"/>
  <c r="N26" i="65"/>
  <c r="O26" i="65" s="1"/>
  <c r="L26" i="65"/>
  <c r="M26" i="65" s="1"/>
  <c r="I56" i="5"/>
  <c r="J56" i="5" s="1"/>
  <c r="C14" i="57"/>
  <c r="K14" i="46"/>
  <c r="F19" i="46"/>
  <c r="M14" i="46"/>
  <c r="D14" i="57"/>
  <c r="F14" i="46"/>
  <c r="L14" i="57"/>
  <c r="N9" i="57"/>
  <c r="H14" i="57"/>
  <c r="K9" i="46"/>
  <c r="J14" i="46"/>
  <c r="J19" i="46"/>
  <c r="M9" i="57"/>
  <c r="I14" i="57"/>
  <c r="N14" i="46"/>
  <c r="N19" i="57"/>
  <c r="L9" i="57"/>
  <c r="E9" i="46"/>
  <c r="G6" i="57"/>
  <c r="G6" i="46"/>
  <c r="C6" i="57"/>
  <c r="O9" i="48"/>
  <c r="C6" i="46"/>
  <c r="J6" i="57"/>
  <c r="J6" i="46"/>
  <c r="I22" i="57"/>
  <c r="I22" i="46"/>
  <c r="M22" i="57"/>
  <c r="M22" i="46"/>
  <c r="G22" i="46"/>
  <c r="G22" i="57"/>
  <c r="D5" i="57"/>
  <c r="D5" i="46"/>
  <c r="G5" i="57"/>
  <c r="G5" i="46"/>
  <c r="H5" i="57"/>
  <c r="H5" i="46"/>
  <c r="I23" i="46"/>
  <c r="I23" i="57"/>
  <c r="C23" i="57"/>
  <c r="C23" i="46"/>
  <c r="O26" i="48"/>
  <c r="J23" i="46"/>
  <c r="J23" i="57"/>
  <c r="N18" i="46"/>
  <c r="N18" i="57"/>
  <c r="C18" i="57"/>
  <c r="C18" i="46"/>
  <c r="O21" i="48"/>
  <c r="L18" i="46"/>
  <c r="L18" i="57"/>
  <c r="G19" i="46"/>
  <c r="N7" i="57"/>
  <c r="N7" i="46"/>
  <c r="G7" i="46"/>
  <c r="G7" i="57"/>
  <c r="E7" i="57"/>
  <c r="E7" i="46"/>
  <c r="D16" i="57"/>
  <c r="D16" i="46"/>
  <c r="G16" i="46"/>
  <c r="G16" i="57"/>
  <c r="M16" i="57"/>
  <c r="M16" i="46"/>
  <c r="N13" i="46"/>
  <c r="N13" i="57"/>
  <c r="J13" i="57"/>
  <c r="J13" i="46"/>
  <c r="K13" i="46"/>
  <c r="K13" i="57"/>
  <c r="O8" i="57"/>
  <c r="C9" i="57"/>
  <c r="O12" i="48"/>
  <c r="I20" i="46"/>
  <c r="I20" i="57"/>
  <c r="J20" i="57"/>
  <c r="J20" i="46"/>
  <c r="M20" i="46"/>
  <c r="M20" i="57"/>
  <c r="D11" i="46"/>
  <c r="D11" i="57"/>
  <c r="F11" i="46"/>
  <c r="F11" i="57"/>
  <c r="J11" i="57"/>
  <c r="J11" i="46"/>
  <c r="L19" i="46"/>
  <c r="F12" i="57"/>
  <c r="F12" i="46"/>
  <c r="K12" i="46"/>
  <c r="K12" i="57"/>
  <c r="L12" i="46"/>
  <c r="L12" i="57"/>
  <c r="G9" i="57"/>
  <c r="O27" i="41"/>
  <c r="G14" i="46"/>
  <c r="D4" i="46"/>
  <c r="D4" i="57"/>
  <c r="D27" i="48"/>
  <c r="J4" i="57"/>
  <c r="J4" i="46"/>
  <c r="J27" i="48"/>
  <c r="L4" i="46"/>
  <c r="L4" i="57"/>
  <c r="L27" i="48"/>
  <c r="N21" i="46"/>
  <c r="N21" i="57"/>
  <c r="J21" i="57"/>
  <c r="J21" i="46"/>
  <c r="C21" i="57"/>
  <c r="C21" i="46"/>
  <c r="O24" i="48"/>
  <c r="I19" i="57"/>
  <c r="D19" i="46"/>
  <c r="N17" i="57"/>
  <c r="N17" i="46"/>
  <c r="C17" i="57"/>
  <c r="O20" i="48"/>
  <c r="C17" i="46"/>
  <c r="L17" i="57"/>
  <c r="L17" i="46"/>
  <c r="D10" i="57"/>
  <c r="D10" i="46"/>
  <c r="E10" i="57"/>
  <c r="E10" i="46"/>
  <c r="H10" i="46"/>
  <c r="H10" i="57"/>
  <c r="D15" i="46"/>
  <c r="D15" i="57"/>
  <c r="K15" i="57"/>
  <c r="K15" i="46"/>
  <c r="H15" i="57"/>
  <c r="H15" i="46"/>
  <c r="J9" i="46"/>
  <c r="I6" i="46"/>
  <c r="I6" i="57"/>
  <c r="K6" i="57"/>
  <c r="K6" i="46"/>
  <c r="H6" i="57"/>
  <c r="H6" i="46"/>
  <c r="N22" i="57"/>
  <c r="N22" i="46"/>
  <c r="L22" i="46"/>
  <c r="L22" i="57"/>
  <c r="C22" i="57"/>
  <c r="O25" i="48"/>
  <c r="C22" i="46"/>
  <c r="F5" i="57"/>
  <c r="F5" i="46"/>
  <c r="C5" i="57"/>
  <c r="O8" i="48"/>
  <c r="C5" i="46"/>
  <c r="L5" i="57"/>
  <c r="L5" i="46"/>
  <c r="D23" i="46"/>
  <c r="D23" i="57"/>
  <c r="E23" i="46"/>
  <c r="E23" i="57"/>
  <c r="M23" i="57"/>
  <c r="M23" i="46"/>
  <c r="F18" i="46"/>
  <c r="F18" i="57"/>
  <c r="E18" i="57"/>
  <c r="E18" i="46"/>
  <c r="H18" i="57"/>
  <c r="H18" i="46"/>
  <c r="K19" i="46"/>
  <c r="I7" i="46"/>
  <c r="I7" i="57"/>
  <c r="C7" i="57"/>
  <c r="O10" i="48"/>
  <c r="C7" i="46"/>
  <c r="M7" i="46"/>
  <c r="M7" i="57"/>
  <c r="I16" i="46"/>
  <c r="I16" i="57"/>
  <c r="C16" i="57"/>
  <c r="O19" i="48"/>
  <c r="C16" i="46"/>
  <c r="J16" i="46"/>
  <c r="J16" i="57"/>
  <c r="D13" i="57"/>
  <c r="D13" i="46"/>
  <c r="E13" i="46"/>
  <c r="E13" i="57"/>
  <c r="H13" i="57"/>
  <c r="H13" i="46"/>
  <c r="D20" i="46"/>
  <c r="D20" i="57"/>
  <c r="E20" i="57"/>
  <c r="E20" i="46"/>
  <c r="K20" i="57"/>
  <c r="K20" i="46"/>
  <c r="N11" i="57"/>
  <c r="N11" i="46"/>
  <c r="G11" i="46"/>
  <c r="G11" i="57"/>
  <c r="H11" i="46"/>
  <c r="H11" i="57"/>
  <c r="E19" i="46"/>
  <c r="N12" i="57"/>
  <c r="N12" i="46"/>
  <c r="G12" i="46"/>
  <c r="G12" i="57"/>
  <c r="J12" i="57"/>
  <c r="J12" i="46"/>
  <c r="O17" i="48"/>
  <c r="F4" i="57"/>
  <c r="F4" i="46"/>
  <c r="F27" i="48"/>
  <c r="E4" i="57"/>
  <c r="E4" i="46"/>
  <c r="E27" i="48"/>
  <c r="H27" i="48"/>
  <c r="H4" i="46"/>
  <c r="H4" i="57"/>
  <c r="I21" i="46"/>
  <c r="I21" i="57"/>
  <c r="M21" i="57"/>
  <c r="M21" i="46"/>
  <c r="L21" i="46"/>
  <c r="L21" i="57"/>
  <c r="H19" i="57"/>
  <c r="I17" i="57"/>
  <c r="I17" i="46"/>
  <c r="J17" i="46"/>
  <c r="J17" i="57"/>
  <c r="F17" i="57"/>
  <c r="F17" i="46"/>
  <c r="I10" i="46"/>
  <c r="I10" i="57"/>
  <c r="J10" i="57"/>
  <c r="J10" i="46"/>
  <c r="C10" i="57"/>
  <c r="O13" i="48"/>
  <c r="C10" i="46"/>
  <c r="I15" i="46"/>
  <c r="I15" i="57"/>
  <c r="E15" i="46"/>
  <c r="E15" i="57"/>
  <c r="J15" i="46"/>
  <c r="J15" i="57"/>
  <c r="O27" i="47"/>
  <c r="N6" i="46"/>
  <c r="N6" i="57"/>
  <c r="M6" i="57"/>
  <c r="M6" i="46"/>
  <c r="L6" i="46"/>
  <c r="L6" i="57"/>
  <c r="E22" i="46"/>
  <c r="E22" i="57"/>
  <c r="H22" i="46"/>
  <c r="H22" i="57"/>
  <c r="J22" i="57"/>
  <c r="J22" i="46"/>
  <c r="N5" i="57"/>
  <c r="N5" i="46"/>
  <c r="K5" i="46"/>
  <c r="K5" i="57"/>
  <c r="M5" i="46"/>
  <c r="M5" i="57"/>
  <c r="N23" i="46"/>
  <c r="N23" i="57"/>
  <c r="F23" i="46"/>
  <c r="F23" i="57"/>
  <c r="H23" i="46"/>
  <c r="H23" i="57"/>
  <c r="D18" i="46"/>
  <c r="D18" i="57"/>
  <c r="K18" i="57"/>
  <c r="K18" i="46"/>
  <c r="J18" i="46"/>
  <c r="J18" i="57"/>
  <c r="C19" i="57"/>
  <c r="O22" i="48"/>
  <c r="C19" i="46"/>
  <c r="D7" i="46"/>
  <c r="D7" i="57"/>
  <c r="K7" i="46"/>
  <c r="K7" i="57"/>
  <c r="L7" i="46"/>
  <c r="L7" i="57"/>
  <c r="N16" i="46"/>
  <c r="N16" i="57"/>
  <c r="E16" i="57"/>
  <c r="E16" i="46"/>
  <c r="L16" i="57"/>
  <c r="L16" i="46"/>
  <c r="I13" i="46"/>
  <c r="I13" i="57"/>
  <c r="G13" i="57"/>
  <c r="G13" i="46"/>
  <c r="M13" i="46"/>
  <c r="M13" i="57"/>
  <c r="F20" i="57"/>
  <c r="F20" i="46"/>
  <c r="H20" i="46"/>
  <c r="H20" i="57"/>
  <c r="L20" i="57"/>
  <c r="L20" i="46"/>
  <c r="M11" i="46"/>
  <c r="M11" i="57"/>
  <c r="C11" i="57"/>
  <c r="C11" i="46"/>
  <c r="O14" i="48"/>
  <c r="L11" i="57"/>
  <c r="L11" i="46"/>
  <c r="M19" i="57"/>
  <c r="I12" i="46"/>
  <c r="I12" i="57"/>
  <c r="C12" i="57"/>
  <c r="O15" i="48"/>
  <c r="C12" i="46"/>
  <c r="M12" i="57"/>
  <c r="M12" i="46"/>
  <c r="D9" i="46"/>
  <c r="H9" i="57"/>
  <c r="O4" i="40"/>
  <c r="O24" i="40" s="1"/>
  <c r="C24" i="40"/>
  <c r="I4" i="57"/>
  <c r="I27" i="48"/>
  <c r="I4" i="46"/>
  <c r="G4" i="57"/>
  <c r="G27" i="48"/>
  <c r="G4" i="46"/>
  <c r="M4" i="46"/>
  <c r="M4" i="57"/>
  <c r="M27" i="48"/>
  <c r="F21" i="57"/>
  <c r="F21" i="46"/>
  <c r="E21" i="57"/>
  <c r="E21" i="46"/>
  <c r="H21" i="46"/>
  <c r="H21" i="57"/>
  <c r="D17" i="46"/>
  <c r="D17" i="57"/>
  <c r="M17" i="57"/>
  <c r="M17" i="46"/>
  <c r="K17" i="57"/>
  <c r="K17" i="46"/>
  <c r="N10" i="46"/>
  <c r="N10" i="57"/>
  <c r="M10" i="57"/>
  <c r="M10" i="46"/>
  <c r="K10" i="46"/>
  <c r="K10" i="57"/>
  <c r="N15" i="57"/>
  <c r="N15" i="46"/>
  <c r="C15" i="57"/>
  <c r="C15" i="46"/>
  <c r="O18" i="48"/>
  <c r="M15" i="46"/>
  <c r="M15" i="57"/>
  <c r="F9" i="46"/>
  <c r="I9" i="46"/>
  <c r="D6" i="57"/>
  <c r="D6" i="46"/>
  <c r="F6" i="46"/>
  <c r="F6" i="57"/>
  <c r="E6" i="57"/>
  <c r="E6" i="46"/>
  <c r="D22" i="57"/>
  <c r="D22" i="46"/>
  <c r="F22" i="57"/>
  <c r="F22" i="46"/>
  <c r="K22" i="57"/>
  <c r="K22" i="46"/>
  <c r="I5" i="57"/>
  <c r="I5" i="46"/>
  <c r="J5" i="57"/>
  <c r="J5" i="46"/>
  <c r="E5" i="57"/>
  <c r="E5" i="46"/>
  <c r="G23" i="57"/>
  <c r="G23" i="46"/>
  <c r="K23" i="57"/>
  <c r="K23" i="46"/>
  <c r="L23" i="46"/>
  <c r="L23" i="57"/>
  <c r="I18" i="46"/>
  <c r="I18" i="57"/>
  <c r="M18" i="46"/>
  <c r="M18" i="57"/>
  <c r="G18" i="46"/>
  <c r="G18" i="57"/>
  <c r="F7" i="57"/>
  <c r="F7" i="46"/>
  <c r="J7" i="57"/>
  <c r="J7" i="46"/>
  <c r="H7" i="57"/>
  <c r="H7" i="46"/>
  <c r="F16" i="46"/>
  <c r="F16" i="57"/>
  <c r="K16" i="46"/>
  <c r="K16" i="57"/>
  <c r="H16" i="46"/>
  <c r="H16" i="57"/>
  <c r="F13" i="57"/>
  <c r="F13" i="46"/>
  <c r="C13" i="57"/>
  <c r="O16" i="48"/>
  <c r="C13" i="46"/>
  <c r="L13" i="57"/>
  <c r="L13" i="46"/>
  <c r="O8" i="46"/>
  <c r="N20" i="46"/>
  <c r="N20" i="57"/>
  <c r="G20" i="46"/>
  <c r="G20" i="57"/>
  <c r="O23" i="48"/>
  <c r="C20" i="57"/>
  <c r="C20" i="46"/>
  <c r="I11" i="46"/>
  <c r="I11" i="57"/>
  <c r="E11" i="46"/>
  <c r="E11" i="57"/>
  <c r="K11" i="57"/>
  <c r="K11" i="46"/>
  <c r="D12" i="46"/>
  <c r="D12" i="57"/>
  <c r="E12" i="57"/>
  <c r="E12" i="46"/>
  <c r="H12" i="46"/>
  <c r="H12" i="57"/>
  <c r="E14" i="46"/>
  <c r="N27" i="48"/>
  <c r="N4" i="46"/>
  <c r="N4" i="57"/>
  <c r="C4" i="57"/>
  <c r="C4" i="46"/>
  <c r="C27" i="48"/>
  <c r="O7" i="48"/>
  <c r="K4" i="57"/>
  <c r="K27" i="48"/>
  <c r="K4" i="46"/>
  <c r="D21" i="46"/>
  <c r="D21" i="57"/>
  <c r="K21" i="46"/>
  <c r="K21" i="57"/>
  <c r="G21" i="57"/>
  <c r="G21" i="46"/>
  <c r="G17" i="57"/>
  <c r="G17" i="46"/>
  <c r="E17" i="46"/>
  <c r="E17" i="57"/>
  <c r="H17" i="46"/>
  <c r="H17" i="57"/>
  <c r="F10" i="46"/>
  <c r="F10" i="57"/>
  <c r="G10" i="57"/>
  <c r="G10" i="46"/>
  <c r="L10" i="57"/>
  <c r="L10" i="46"/>
  <c r="G15" i="46"/>
  <c r="G15" i="57"/>
  <c r="F15" i="46"/>
  <c r="F15" i="57"/>
  <c r="L15" i="46"/>
  <c r="L15" i="57"/>
  <c r="C9" i="46"/>
  <c r="O14" i="5"/>
  <c r="P14" i="5" s="1"/>
  <c r="O26" i="5"/>
  <c r="Q26" i="5" s="1"/>
  <c r="W27" i="3" s="1"/>
  <c r="G59" i="5"/>
  <c r="H59" i="5" s="1"/>
  <c r="O13" i="5"/>
  <c r="P13" i="5" s="1"/>
  <c r="O28" i="5"/>
  <c r="O23" i="5"/>
  <c r="P23" i="5" s="1"/>
  <c r="P18" i="5"/>
  <c r="P21" i="5"/>
  <c r="P19" i="5"/>
  <c r="H15" i="22"/>
  <c r="I15" i="22" s="1"/>
  <c r="J15" i="22" s="1"/>
  <c r="H21" i="22"/>
  <c r="I21" i="22" s="1"/>
  <c r="H23" i="22"/>
  <c r="I23" i="22" s="1"/>
  <c r="J23" i="22" s="1"/>
  <c r="H10" i="22"/>
  <c r="I10" i="22" s="1"/>
  <c r="J10" i="22" s="1"/>
  <c r="H14" i="22"/>
  <c r="I14" i="22" s="1"/>
  <c r="H9" i="22"/>
  <c r="I9" i="22" s="1"/>
  <c r="H22" i="22"/>
  <c r="I22" i="22" s="1"/>
  <c r="J22" i="22" s="1"/>
  <c r="H13" i="22"/>
  <c r="I13" i="22" s="1"/>
  <c r="H11" i="22"/>
  <c r="I11" i="22" s="1"/>
  <c r="J11" i="22" s="1"/>
  <c r="H27" i="22"/>
  <c r="I27" i="22" s="1"/>
  <c r="J27" i="22" s="1"/>
  <c r="H25" i="22"/>
  <c r="I25" i="22" s="1"/>
  <c r="J25" i="22" s="1"/>
  <c r="H19" i="22"/>
  <c r="I19" i="22" s="1"/>
  <c r="J19" i="22" s="1"/>
  <c r="H17" i="22"/>
  <c r="I17" i="22" s="1"/>
  <c r="H24" i="22"/>
  <c r="I24" i="22" s="1"/>
  <c r="J24" i="22" s="1"/>
  <c r="H20" i="22"/>
  <c r="I20" i="22" s="1"/>
  <c r="J20" i="22" s="1"/>
  <c r="H8" i="22"/>
  <c r="H16" i="22"/>
  <c r="I16" i="22" s="1"/>
  <c r="J16" i="22" s="1"/>
  <c r="H12" i="22"/>
  <c r="I12" i="22" s="1"/>
  <c r="J12" i="22" s="1"/>
  <c r="H18" i="22"/>
  <c r="I18" i="22" s="1"/>
  <c r="J18" i="22" s="1"/>
  <c r="H26" i="22"/>
  <c r="I26" i="22" s="1"/>
  <c r="J26" i="22" s="1"/>
  <c r="I43" i="5"/>
  <c r="J43" i="5" s="1"/>
  <c r="O20" i="4"/>
  <c r="P20" i="4" s="1"/>
  <c r="L10" i="4"/>
  <c r="O10" i="4" s="1"/>
  <c r="P10" i="4" s="1"/>
  <c r="E10" i="14"/>
  <c r="F10" i="14" s="1"/>
  <c r="E10" i="13"/>
  <c r="F10" i="13" s="1"/>
  <c r="L23" i="4"/>
  <c r="E23" i="14"/>
  <c r="F23" i="14" s="1"/>
  <c r="E23" i="13"/>
  <c r="F23" i="13" s="1"/>
  <c r="L14" i="4"/>
  <c r="O14" i="4" s="1"/>
  <c r="P14" i="4" s="1"/>
  <c r="E14" i="14"/>
  <c r="F14" i="14" s="1"/>
  <c r="E14" i="13"/>
  <c r="F14" i="13" s="1"/>
  <c r="L26" i="4"/>
  <c r="O26" i="4" s="1"/>
  <c r="P26" i="4" s="1"/>
  <c r="E26" i="14"/>
  <c r="F26" i="14" s="1"/>
  <c r="E26" i="13"/>
  <c r="F26" i="13" s="1"/>
  <c r="L25" i="4"/>
  <c r="O25" i="4" s="1"/>
  <c r="P25" i="4" s="1"/>
  <c r="E25" i="14"/>
  <c r="F25" i="14" s="1"/>
  <c r="E25" i="13"/>
  <c r="F25" i="13" s="1"/>
  <c r="L27" i="4"/>
  <c r="E27" i="14"/>
  <c r="F27" i="14" s="1"/>
  <c r="E27" i="13"/>
  <c r="F27" i="13" s="1"/>
  <c r="L22" i="4"/>
  <c r="O22" i="4" s="1"/>
  <c r="P22" i="4" s="1"/>
  <c r="E22" i="14"/>
  <c r="F22" i="14" s="1"/>
  <c r="E22" i="13"/>
  <c r="F22" i="13" s="1"/>
  <c r="L8" i="4"/>
  <c r="O8" i="4" s="1"/>
  <c r="P8" i="4" s="1"/>
  <c r="E8" i="14"/>
  <c r="F8" i="14" s="1"/>
  <c r="E8" i="13"/>
  <c r="L12" i="4"/>
  <c r="O12" i="4" s="1"/>
  <c r="P12" i="4" s="1"/>
  <c r="E12" i="14"/>
  <c r="F12" i="14" s="1"/>
  <c r="E12" i="13"/>
  <c r="F12" i="13" s="1"/>
  <c r="L11" i="4"/>
  <c r="O11" i="4" s="1"/>
  <c r="P11" i="4" s="1"/>
  <c r="E11" i="14"/>
  <c r="F11" i="14" s="1"/>
  <c r="E11" i="13"/>
  <c r="F11" i="13" s="1"/>
  <c r="L9" i="4"/>
  <c r="O9" i="4" s="1"/>
  <c r="P9" i="4" s="1"/>
  <c r="E9" i="14"/>
  <c r="F9" i="14" s="1"/>
  <c r="E9" i="13"/>
  <c r="F9" i="13" s="1"/>
  <c r="L24" i="4"/>
  <c r="O24" i="4" s="1"/>
  <c r="P24" i="4" s="1"/>
  <c r="E24" i="14"/>
  <c r="F24" i="14" s="1"/>
  <c r="E24" i="13"/>
  <c r="F24" i="13" s="1"/>
  <c r="L17" i="4"/>
  <c r="O17" i="4" s="1"/>
  <c r="P17" i="4" s="1"/>
  <c r="E17" i="14"/>
  <c r="F17" i="14" s="1"/>
  <c r="E17" i="13"/>
  <c r="F17" i="13" s="1"/>
  <c r="L16" i="4"/>
  <c r="O16" i="4" s="1"/>
  <c r="P16" i="4" s="1"/>
  <c r="E16" i="14"/>
  <c r="F16" i="14" s="1"/>
  <c r="E16" i="13"/>
  <c r="F16" i="13" s="1"/>
  <c r="L15" i="4"/>
  <c r="O15" i="4" s="1"/>
  <c r="P15" i="4" s="1"/>
  <c r="E15" i="14"/>
  <c r="F15" i="14" s="1"/>
  <c r="E15" i="13"/>
  <c r="F15" i="13" s="1"/>
  <c r="L21" i="4"/>
  <c r="E21" i="14"/>
  <c r="F21" i="14" s="1"/>
  <c r="E21" i="13"/>
  <c r="F21" i="13" s="1"/>
  <c r="L13" i="4"/>
  <c r="O13" i="4" s="1"/>
  <c r="P13" i="4" s="1"/>
  <c r="E13" i="14"/>
  <c r="F13" i="14" s="1"/>
  <c r="E13" i="13"/>
  <c r="F13" i="13" s="1"/>
  <c r="L19" i="4"/>
  <c r="O19" i="4" s="1"/>
  <c r="P19" i="4" s="1"/>
  <c r="E19" i="14"/>
  <c r="F19" i="14" s="1"/>
  <c r="E19" i="13"/>
  <c r="F19" i="13" s="1"/>
  <c r="L18" i="4"/>
  <c r="O18" i="4" s="1"/>
  <c r="P18" i="4" s="1"/>
  <c r="E18" i="14"/>
  <c r="F18" i="14" s="1"/>
  <c r="E18" i="13"/>
  <c r="F18" i="13" s="1"/>
  <c r="G28" i="4"/>
  <c r="N20" i="4"/>
  <c r="K28" i="4"/>
  <c r="I14" i="8"/>
  <c r="I19" i="8"/>
  <c r="I25" i="8"/>
  <c r="I15" i="8"/>
  <c r="I10" i="8"/>
  <c r="I9" i="8"/>
  <c r="I12" i="8"/>
  <c r="I27" i="8"/>
  <c r="I21" i="8"/>
  <c r="I18" i="8"/>
  <c r="I24" i="8"/>
  <c r="I20" i="8"/>
  <c r="I17" i="8"/>
  <c r="I11" i="8"/>
  <c r="I23" i="8"/>
  <c r="I8" i="8"/>
  <c r="B7" i="38" s="1"/>
  <c r="I22" i="8"/>
  <c r="I16" i="8"/>
  <c r="I26" i="8"/>
  <c r="I13" i="8"/>
  <c r="J49" i="5"/>
  <c r="J41" i="5"/>
  <c r="Q10" i="5"/>
  <c r="W11" i="3" s="1"/>
  <c r="J46" i="5"/>
  <c r="Q18" i="5"/>
  <c r="W19" i="3" s="1"/>
  <c r="J48" i="5"/>
  <c r="Q9" i="5"/>
  <c r="W10" i="3" s="1"/>
  <c r="Q20" i="5"/>
  <c r="W21" i="3" s="1"/>
  <c r="J47" i="5"/>
  <c r="J39" i="5"/>
  <c r="J42" i="5"/>
  <c r="J57" i="5"/>
  <c r="Q16" i="5"/>
  <c r="W17" i="3" s="1"/>
  <c r="J52" i="5"/>
  <c r="Q21" i="5"/>
  <c r="W22" i="3" s="1"/>
  <c r="J55" i="5"/>
  <c r="J53" i="5"/>
  <c r="Q24" i="5"/>
  <c r="W25" i="3" s="1"/>
  <c r="Q25" i="5"/>
  <c r="W26" i="3" s="1"/>
  <c r="H44" i="5"/>
  <c r="I44" i="5"/>
  <c r="J50" i="5"/>
  <c r="J54" i="5"/>
  <c r="Q22" i="5"/>
  <c r="W23" i="3" s="1"/>
  <c r="P12" i="5"/>
  <c r="Q12" i="5"/>
  <c r="W13" i="3" s="1"/>
  <c r="Q17" i="5"/>
  <c r="W18" i="3" s="1"/>
  <c r="Q15" i="5"/>
  <c r="W16" i="3" s="1"/>
  <c r="Q8" i="5"/>
  <c r="W9" i="3" s="1"/>
  <c r="Q11" i="5"/>
  <c r="W12" i="3" s="1"/>
  <c r="Q19" i="5"/>
  <c r="W20" i="3" s="1"/>
  <c r="Z8" i="5"/>
  <c r="Z28" i="5" s="1"/>
  <c r="U8" i="5"/>
  <c r="U28" i="5" s="1"/>
  <c r="H40" i="5"/>
  <c r="I40" i="5"/>
  <c r="L28" i="5"/>
  <c r="Q27" i="5"/>
  <c r="W28" i="3" s="1"/>
  <c r="J58" i="5"/>
  <c r="L9" i="65" l="1"/>
  <c r="N9" i="65"/>
  <c r="K29" i="65"/>
  <c r="K18" i="22"/>
  <c r="L18" i="22" s="1"/>
  <c r="AA19" i="3" s="1"/>
  <c r="B17" i="35"/>
  <c r="K22" i="22"/>
  <c r="L22" i="22" s="1"/>
  <c r="AA23" i="3" s="1"/>
  <c r="B21" i="35"/>
  <c r="K12" i="22"/>
  <c r="L12" i="22" s="1"/>
  <c r="AA13" i="3" s="1"/>
  <c r="B11" i="35"/>
  <c r="K24" i="22"/>
  <c r="L24" i="22" s="1"/>
  <c r="AA25" i="3" s="1"/>
  <c r="B23" i="35"/>
  <c r="K27" i="22"/>
  <c r="L27" i="22" s="1"/>
  <c r="AA28" i="3" s="1"/>
  <c r="B26" i="35"/>
  <c r="K25" i="22"/>
  <c r="L25" i="22" s="1"/>
  <c r="AA26" i="3" s="1"/>
  <c r="B24" i="35"/>
  <c r="K16" i="22"/>
  <c r="L16" i="22" s="1"/>
  <c r="AA17" i="3" s="1"/>
  <c r="B15" i="35"/>
  <c r="K11" i="22"/>
  <c r="L11" i="22" s="1"/>
  <c r="AA12" i="3" s="1"/>
  <c r="B10" i="35"/>
  <c r="K15" i="22"/>
  <c r="L15" i="22" s="1"/>
  <c r="AA16" i="3" s="1"/>
  <c r="B14" i="35"/>
  <c r="K20" i="22"/>
  <c r="L20" i="22" s="1"/>
  <c r="AA21" i="3" s="1"/>
  <c r="B19" i="35"/>
  <c r="K23" i="22"/>
  <c r="L23" i="22" s="1"/>
  <c r="AA24" i="3" s="1"/>
  <c r="B22" i="35"/>
  <c r="K26" i="22"/>
  <c r="L26" i="22" s="1"/>
  <c r="AA27" i="3" s="1"/>
  <c r="B25" i="35"/>
  <c r="K19" i="22"/>
  <c r="L19" i="22" s="1"/>
  <c r="AA20" i="3" s="1"/>
  <c r="B18" i="35"/>
  <c r="K10" i="22"/>
  <c r="L10" i="22" s="1"/>
  <c r="AA11" i="3" s="1"/>
  <c r="B9" i="35"/>
  <c r="O14" i="46"/>
  <c r="O14" i="57"/>
  <c r="P26" i="5"/>
  <c r="P28" i="5" s="1"/>
  <c r="O9" i="46"/>
  <c r="N24" i="57"/>
  <c r="K24" i="46"/>
  <c r="O27" i="48"/>
  <c r="N24" i="46"/>
  <c r="O20" i="57"/>
  <c r="O19" i="46"/>
  <c r="O20" i="46"/>
  <c r="X19" i="3"/>
  <c r="B17" i="38"/>
  <c r="X14" i="3"/>
  <c r="B12" i="38"/>
  <c r="E7" i="38"/>
  <c r="G7" i="38"/>
  <c r="I7" i="38"/>
  <c r="M7" i="38"/>
  <c r="F7" i="38"/>
  <c r="J7" i="38"/>
  <c r="H7" i="38"/>
  <c r="N7" i="38"/>
  <c r="C7" i="38"/>
  <c r="K7" i="38"/>
  <c r="D7" i="38"/>
  <c r="L7" i="38"/>
  <c r="X21" i="3"/>
  <c r="B19" i="38"/>
  <c r="X28" i="3"/>
  <c r="B26" i="38"/>
  <c r="X16" i="3"/>
  <c r="B14" i="38"/>
  <c r="K24" i="57"/>
  <c r="O4" i="57"/>
  <c r="C24" i="57"/>
  <c r="O15" i="46"/>
  <c r="M24" i="46"/>
  <c r="I24" i="46"/>
  <c r="O19" i="57"/>
  <c r="O10" i="57"/>
  <c r="O7" i="57"/>
  <c r="O5" i="57"/>
  <c r="O21" i="57"/>
  <c r="D24" i="57"/>
  <c r="O23" i="46"/>
  <c r="X27" i="3"/>
  <c r="B25" i="38"/>
  <c r="X24" i="3"/>
  <c r="B22" i="38"/>
  <c r="X25" i="3"/>
  <c r="B23" i="38"/>
  <c r="X13" i="3"/>
  <c r="B11" i="38"/>
  <c r="X26" i="3"/>
  <c r="B24" i="38"/>
  <c r="O13" i="57"/>
  <c r="O15" i="57"/>
  <c r="G24" i="46"/>
  <c r="O12" i="46"/>
  <c r="F24" i="46"/>
  <c r="O16" i="57"/>
  <c r="O22" i="57"/>
  <c r="O17" i="57"/>
  <c r="J24" i="46"/>
  <c r="D24" i="46"/>
  <c r="O9" i="57"/>
  <c r="O18" i="46"/>
  <c r="O23" i="57"/>
  <c r="O6" i="57"/>
  <c r="X17" i="3"/>
  <c r="B15" i="38"/>
  <c r="I24" i="57"/>
  <c r="O11" i="46"/>
  <c r="O10" i="46"/>
  <c r="H24" i="57"/>
  <c r="E24" i="46"/>
  <c r="F24" i="57"/>
  <c r="O7" i="46"/>
  <c r="O5" i="46"/>
  <c r="L24" i="57"/>
  <c r="J24" i="57"/>
  <c r="O18" i="57"/>
  <c r="X12" i="3"/>
  <c r="B10" i="38"/>
  <c r="X10" i="3"/>
  <c r="B8" i="38"/>
  <c r="X20" i="3"/>
  <c r="B18" i="38"/>
  <c r="X23" i="3"/>
  <c r="B21" i="38"/>
  <c r="X18" i="3"/>
  <c r="B16" i="38"/>
  <c r="X22" i="3"/>
  <c r="B20" i="38"/>
  <c r="X11" i="3"/>
  <c r="B9" i="38"/>
  <c r="X15" i="3"/>
  <c r="B13" i="38"/>
  <c r="O4" i="46"/>
  <c r="C24" i="46"/>
  <c r="O13" i="46"/>
  <c r="M24" i="57"/>
  <c r="G24" i="57"/>
  <c r="O12" i="57"/>
  <c r="O11" i="57"/>
  <c r="H24" i="46"/>
  <c r="E24" i="57"/>
  <c r="O16" i="46"/>
  <c r="O22" i="46"/>
  <c r="O17" i="46"/>
  <c r="O21" i="46"/>
  <c r="L24" i="46"/>
  <c r="O6" i="46"/>
  <c r="Q13" i="5"/>
  <c r="W14" i="3" s="1"/>
  <c r="Q14" i="5"/>
  <c r="W15" i="3" s="1"/>
  <c r="Q23" i="5"/>
  <c r="W24" i="3" s="1"/>
  <c r="H28" i="22"/>
  <c r="I8" i="22"/>
  <c r="J13" i="22"/>
  <c r="J9" i="22"/>
  <c r="J21" i="22"/>
  <c r="J17" i="22"/>
  <c r="J14" i="22"/>
  <c r="X9" i="3"/>
  <c r="J8" i="8"/>
  <c r="M9" i="4"/>
  <c r="N9" i="4" s="1"/>
  <c r="E28" i="13"/>
  <c r="F8" i="13"/>
  <c r="M27" i="4"/>
  <c r="N27" i="4" s="1"/>
  <c r="L28" i="4"/>
  <c r="M21" i="4"/>
  <c r="N21" i="4" s="1"/>
  <c r="M24" i="4"/>
  <c r="N24" i="4" s="1"/>
  <c r="M22" i="4"/>
  <c r="N22" i="4" s="1"/>
  <c r="M14" i="4"/>
  <c r="N14" i="4" s="1"/>
  <c r="M18" i="4"/>
  <c r="N18" i="4" s="1"/>
  <c r="M15" i="4"/>
  <c r="N15" i="4" s="1"/>
  <c r="M13" i="4"/>
  <c r="N13" i="4" s="1"/>
  <c r="M17" i="4"/>
  <c r="N17" i="4" s="1"/>
  <c r="M12" i="4"/>
  <c r="N12" i="4" s="1"/>
  <c r="M8" i="4"/>
  <c r="N8" i="4" s="1"/>
  <c r="M26" i="4"/>
  <c r="N26" i="4" s="1"/>
  <c r="M23" i="4"/>
  <c r="N23" i="4" s="1"/>
  <c r="O23" i="4"/>
  <c r="P23" i="4" s="1"/>
  <c r="O21" i="4"/>
  <c r="P21" i="4" s="1"/>
  <c r="O27" i="4"/>
  <c r="P27" i="4" s="1"/>
  <c r="M19" i="4"/>
  <c r="N19" i="4" s="1"/>
  <c r="M16" i="4"/>
  <c r="N16" i="4" s="1"/>
  <c r="M11" i="4"/>
  <c r="N11" i="4" s="1"/>
  <c r="M25" i="4"/>
  <c r="N25" i="4" s="1"/>
  <c r="M10" i="4"/>
  <c r="N10" i="4" s="1"/>
  <c r="J9" i="8"/>
  <c r="K9" i="8" s="1"/>
  <c r="Y10" i="3" s="1"/>
  <c r="L14" i="8"/>
  <c r="N14" i="8" s="1"/>
  <c r="J14" i="8"/>
  <c r="K14" i="8" s="1"/>
  <c r="Y15" i="3" s="1"/>
  <c r="J25" i="8"/>
  <c r="K25" i="8" s="1"/>
  <c r="Y26" i="3" s="1"/>
  <c r="L19" i="8"/>
  <c r="N19" i="8" s="1"/>
  <c r="J19" i="8"/>
  <c r="K19" i="8" s="1"/>
  <c r="Y20" i="3" s="1"/>
  <c r="L12" i="8"/>
  <c r="N12" i="8" s="1"/>
  <c r="L25" i="8"/>
  <c r="N25" i="8" s="1"/>
  <c r="L8" i="8"/>
  <c r="N8" i="8" s="1"/>
  <c r="J15" i="8"/>
  <c r="K15" i="8" s="1"/>
  <c r="Y16" i="3" s="1"/>
  <c r="L24" i="8"/>
  <c r="N24" i="8" s="1"/>
  <c r="L15" i="8"/>
  <c r="N15" i="8" s="1"/>
  <c r="J11" i="8"/>
  <c r="K11" i="8" s="1"/>
  <c r="Y12" i="3" s="1"/>
  <c r="J27" i="8"/>
  <c r="K27" i="8" s="1"/>
  <c r="Y28" i="3" s="1"/>
  <c r="L17" i="8"/>
  <c r="N17" i="8" s="1"/>
  <c r="J13" i="8"/>
  <c r="K13" i="8" s="1"/>
  <c r="Y14" i="3" s="1"/>
  <c r="L27" i="8"/>
  <c r="N27" i="8" s="1"/>
  <c r="J20" i="8"/>
  <c r="K20" i="8" s="1"/>
  <c r="Y21" i="3" s="1"/>
  <c r="J12" i="8"/>
  <c r="K12" i="8" s="1"/>
  <c r="Y13" i="3" s="1"/>
  <c r="J24" i="8"/>
  <c r="K24" i="8" s="1"/>
  <c r="Y25" i="3" s="1"/>
  <c r="L10" i="8"/>
  <c r="N10" i="8" s="1"/>
  <c r="L18" i="8"/>
  <c r="N18" i="8" s="1"/>
  <c r="J10" i="8"/>
  <c r="K10" i="8" s="1"/>
  <c r="Y11" i="3" s="1"/>
  <c r="L16" i="8"/>
  <c r="N16" i="8" s="1"/>
  <c r="J18" i="8"/>
  <c r="K18" i="8" s="1"/>
  <c r="Y19" i="3" s="1"/>
  <c r="L9" i="8"/>
  <c r="N9" i="8" s="1"/>
  <c r="J21" i="8"/>
  <c r="K21" i="8" s="1"/>
  <c r="Y22" i="3" s="1"/>
  <c r="L21" i="8"/>
  <c r="N21" i="8" s="1"/>
  <c r="J17" i="8"/>
  <c r="K17" i="8" s="1"/>
  <c r="Y18" i="3" s="1"/>
  <c r="J23" i="8"/>
  <c r="K23" i="8" s="1"/>
  <c r="Y24" i="3" s="1"/>
  <c r="L23" i="8"/>
  <c r="N23" i="8" s="1"/>
  <c r="L20" i="8"/>
  <c r="N20" i="8" s="1"/>
  <c r="L11" i="8"/>
  <c r="N11" i="8" s="1"/>
  <c r="J26" i="8"/>
  <c r="K26" i="8" s="1"/>
  <c r="Y27" i="3" s="1"/>
  <c r="L26" i="8"/>
  <c r="N26" i="8" s="1"/>
  <c r="J16" i="8"/>
  <c r="K16" i="8" s="1"/>
  <c r="Y17" i="3" s="1"/>
  <c r="J22" i="8"/>
  <c r="K22" i="8" s="1"/>
  <c r="Y23" i="3" s="1"/>
  <c r="L13" i="8"/>
  <c r="N13" i="8" s="1"/>
  <c r="L22" i="8"/>
  <c r="N22" i="8" s="1"/>
  <c r="J44" i="5"/>
  <c r="I59" i="5"/>
  <c r="J40" i="5"/>
  <c r="O9" i="65" l="1"/>
  <c r="O29" i="65" s="1"/>
  <c r="N29" i="65"/>
  <c r="L29" i="65"/>
  <c r="M29" i="65" s="1"/>
  <c r="M9" i="65"/>
  <c r="K14" i="22"/>
  <c r="L14" i="22" s="1"/>
  <c r="AA15" i="3" s="1"/>
  <c r="B13" i="35"/>
  <c r="J19" i="35"/>
  <c r="J16" i="34" s="1"/>
  <c r="H19" i="35"/>
  <c r="H16" i="34" s="1"/>
  <c r="N19" i="35"/>
  <c r="N16" i="34" s="1"/>
  <c r="L19" i="35"/>
  <c r="L16" i="34" s="1"/>
  <c r="I19" i="35"/>
  <c r="I16" i="34" s="1"/>
  <c r="D19" i="35"/>
  <c r="D16" i="34" s="1"/>
  <c r="G19" i="35"/>
  <c r="G16" i="34" s="1"/>
  <c r="F19" i="35"/>
  <c r="F16" i="34" s="1"/>
  <c r="M19" i="35"/>
  <c r="M16" i="34" s="1"/>
  <c r="E19" i="35"/>
  <c r="E16" i="34" s="1"/>
  <c r="K19" i="35"/>
  <c r="K16" i="34" s="1"/>
  <c r="C19" i="35"/>
  <c r="N23" i="35"/>
  <c r="N20" i="34" s="1"/>
  <c r="J23" i="35"/>
  <c r="J20" i="34" s="1"/>
  <c r="H23" i="35"/>
  <c r="H20" i="34" s="1"/>
  <c r="I23" i="35"/>
  <c r="I20" i="34" s="1"/>
  <c r="G23" i="35"/>
  <c r="G20" i="34" s="1"/>
  <c r="E23" i="35"/>
  <c r="E20" i="34" s="1"/>
  <c r="L23" i="35"/>
  <c r="L20" i="34" s="1"/>
  <c r="D23" i="35"/>
  <c r="D20" i="34" s="1"/>
  <c r="M23" i="35"/>
  <c r="M20" i="34" s="1"/>
  <c r="K23" i="35"/>
  <c r="K20" i="34" s="1"/>
  <c r="F23" i="35"/>
  <c r="F20" i="34" s="1"/>
  <c r="C23" i="35"/>
  <c r="K17" i="22"/>
  <c r="L17" i="22" s="1"/>
  <c r="AA18" i="3" s="1"/>
  <c r="B16" i="35"/>
  <c r="H9" i="35"/>
  <c r="H6" i="34" s="1"/>
  <c r="J9" i="35"/>
  <c r="J6" i="34" s="1"/>
  <c r="N9" i="35"/>
  <c r="N6" i="34" s="1"/>
  <c r="E9" i="35"/>
  <c r="E6" i="34" s="1"/>
  <c r="F9" i="35"/>
  <c r="F6" i="34" s="1"/>
  <c r="D9" i="35"/>
  <c r="D6" i="34" s="1"/>
  <c r="M9" i="35"/>
  <c r="M6" i="34" s="1"/>
  <c r="C9" i="35"/>
  <c r="I9" i="35"/>
  <c r="I6" i="34" s="1"/>
  <c r="G9" i="35"/>
  <c r="G6" i="34" s="1"/>
  <c r="K9" i="35"/>
  <c r="K6" i="34" s="1"/>
  <c r="L9" i="35"/>
  <c r="L6" i="34" s="1"/>
  <c r="N10" i="35"/>
  <c r="N7" i="34" s="1"/>
  <c r="J10" i="35"/>
  <c r="J7" i="34" s="1"/>
  <c r="H10" i="35"/>
  <c r="H7" i="34" s="1"/>
  <c r="I10" i="35"/>
  <c r="I7" i="34" s="1"/>
  <c r="L10" i="35"/>
  <c r="L7" i="34" s="1"/>
  <c r="M10" i="35"/>
  <c r="M7" i="34" s="1"/>
  <c r="C10" i="35"/>
  <c r="F10" i="35"/>
  <c r="F7" i="34" s="1"/>
  <c r="D10" i="35"/>
  <c r="D7" i="34" s="1"/>
  <c r="G10" i="35"/>
  <c r="G7" i="34" s="1"/>
  <c r="E10" i="35"/>
  <c r="E7" i="34" s="1"/>
  <c r="K10" i="35"/>
  <c r="K7" i="34" s="1"/>
  <c r="H21" i="35"/>
  <c r="H18" i="34" s="1"/>
  <c r="J21" i="35"/>
  <c r="J18" i="34" s="1"/>
  <c r="N21" i="35"/>
  <c r="N18" i="34" s="1"/>
  <c r="C21" i="35"/>
  <c r="E21" i="35"/>
  <c r="E18" i="34" s="1"/>
  <c r="D21" i="35"/>
  <c r="D18" i="34" s="1"/>
  <c r="G21" i="35"/>
  <c r="G18" i="34" s="1"/>
  <c r="K21" i="35"/>
  <c r="K18" i="34" s="1"/>
  <c r="L21" i="35"/>
  <c r="L18" i="34" s="1"/>
  <c r="I21" i="35"/>
  <c r="I18" i="34" s="1"/>
  <c r="F21" i="35"/>
  <c r="F18" i="34" s="1"/>
  <c r="M21" i="35"/>
  <c r="M18" i="34" s="1"/>
  <c r="K21" i="22"/>
  <c r="L21" i="22" s="1"/>
  <c r="AA22" i="3" s="1"/>
  <c r="B20" i="35"/>
  <c r="N18" i="35"/>
  <c r="N15" i="34" s="1"/>
  <c r="J18" i="35"/>
  <c r="J15" i="34" s="1"/>
  <c r="H18" i="35"/>
  <c r="H15" i="34" s="1"/>
  <c r="F18" i="35"/>
  <c r="F15" i="34" s="1"/>
  <c r="D18" i="35"/>
  <c r="D15" i="34" s="1"/>
  <c r="G18" i="35"/>
  <c r="G15" i="34" s="1"/>
  <c r="C18" i="35"/>
  <c r="L18" i="35"/>
  <c r="L15" i="34" s="1"/>
  <c r="K18" i="35"/>
  <c r="K15" i="34" s="1"/>
  <c r="M18" i="35"/>
  <c r="M15" i="34" s="1"/>
  <c r="I18" i="35"/>
  <c r="I15" i="34" s="1"/>
  <c r="E18" i="35"/>
  <c r="E15" i="34" s="1"/>
  <c r="J22" i="35"/>
  <c r="J19" i="34" s="1"/>
  <c r="H22" i="35"/>
  <c r="H19" i="34" s="1"/>
  <c r="N22" i="35"/>
  <c r="N19" i="34" s="1"/>
  <c r="E22" i="35"/>
  <c r="E19" i="34" s="1"/>
  <c r="K22" i="35"/>
  <c r="K19" i="34" s="1"/>
  <c r="C22" i="35"/>
  <c r="D22" i="35"/>
  <c r="D19" i="34" s="1"/>
  <c r="M22" i="35"/>
  <c r="M19" i="34" s="1"/>
  <c r="I22" i="35"/>
  <c r="I19" i="34" s="1"/>
  <c r="G22" i="35"/>
  <c r="G19" i="34" s="1"/>
  <c r="L22" i="35"/>
  <c r="L19" i="34" s="1"/>
  <c r="F22" i="35"/>
  <c r="F19" i="34" s="1"/>
  <c r="J14" i="35"/>
  <c r="J11" i="34" s="1"/>
  <c r="H14" i="35"/>
  <c r="H11" i="34" s="1"/>
  <c r="N14" i="35"/>
  <c r="N11" i="34" s="1"/>
  <c r="D14" i="35"/>
  <c r="D11" i="34" s="1"/>
  <c r="M14" i="35"/>
  <c r="M11" i="34" s="1"/>
  <c r="L14" i="35"/>
  <c r="L11" i="34" s="1"/>
  <c r="I14" i="35"/>
  <c r="I11" i="34" s="1"/>
  <c r="G14" i="35"/>
  <c r="G11" i="34" s="1"/>
  <c r="E14" i="35"/>
  <c r="E11" i="34" s="1"/>
  <c r="F14" i="35"/>
  <c r="F11" i="34" s="1"/>
  <c r="K14" i="35"/>
  <c r="K11" i="34" s="1"/>
  <c r="C14" i="35"/>
  <c r="H15" i="35"/>
  <c r="H12" i="34" s="1"/>
  <c r="N15" i="35"/>
  <c r="N12" i="34" s="1"/>
  <c r="J15" i="35"/>
  <c r="J12" i="34" s="1"/>
  <c r="E15" i="35"/>
  <c r="E12" i="34" s="1"/>
  <c r="C15" i="35"/>
  <c r="K15" i="35"/>
  <c r="K12" i="34" s="1"/>
  <c r="F15" i="35"/>
  <c r="F12" i="34" s="1"/>
  <c r="M15" i="35"/>
  <c r="M12" i="34" s="1"/>
  <c r="I15" i="35"/>
  <c r="I12" i="34" s="1"/>
  <c r="G15" i="35"/>
  <c r="G12" i="34" s="1"/>
  <c r="L15" i="35"/>
  <c r="L12" i="34" s="1"/>
  <c r="D15" i="35"/>
  <c r="D12" i="34" s="1"/>
  <c r="J26" i="35"/>
  <c r="J23" i="34" s="1"/>
  <c r="N26" i="35"/>
  <c r="N23" i="34" s="1"/>
  <c r="H26" i="35"/>
  <c r="H23" i="34" s="1"/>
  <c r="M26" i="35"/>
  <c r="M23" i="34" s="1"/>
  <c r="L26" i="35"/>
  <c r="L23" i="34" s="1"/>
  <c r="F26" i="35"/>
  <c r="F23" i="34" s="1"/>
  <c r="I26" i="35"/>
  <c r="I23" i="34" s="1"/>
  <c r="D26" i="35"/>
  <c r="D23" i="34" s="1"/>
  <c r="G26" i="35"/>
  <c r="G23" i="34" s="1"/>
  <c r="E26" i="35"/>
  <c r="E23" i="34" s="1"/>
  <c r="K26" i="35"/>
  <c r="K23" i="34" s="1"/>
  <c r="C26" i="35"/>
  <c r="H11" i="35"/>
  <c r="H8" i="34" s="1"/>
  <c r="J11" i="35"/>
  <c r="J8" i="34" s="1"/>
  <c r="N11" i="35"/>
  <c r="N8" i="34" s="1"/>
  <c r="K11" i="35"/>
  <c r="K8" i="34" s="1"/>
  <c r="I11" i="35"/>
  <c r="I8" i="34" s="1"/>
  <c r="E11" i="35"/>
  <c r="E8" i="34" s="1"/>
  <c r="D11" i="35"/>
  <c r="D8" i="34" s="1"/>
  <c r="M11" i="35"/>
  <c r="M8" i="34" s="1"/>
  <c r="G11" i="35"/>
  <c r="G8" i="34" s="1"/>
  <c r="L11" i="35"/>
  <c r="L8" i="34" s="1"/>
  <c r="C11" i="35"/>
  <c r="F11" i="35"/>
  <c r="F8" i="34" s="1"/>
  <c r="H17" i="35"/>
  <c r="H14" i="34" s="1"/>
  <c r="J17" i="35"/>
  <c r="J14" i="34" s="1"/>
  <c r="N17" i="35"/>
  <c r="N14" i="34" s="1"/>
  <c r="M17" i="35"/>
  <c r="M14" i="34" s="1"/>
  <c r="K17" i="35"/>
  <c r="K14" i="34" s="1"/>
  <c r="F17" i="35"/>
  <c r="F14" i="34" s="1"/>
  <c r="E17" i="35"/>
  <c r="E14" i="34" s="1"/>
  <c r="D17" i="35"/>
  <c r="D14" i="34" s="1"/>
  <c r="I17" i="35"/>
  <c r="I14" i="34" s="1"/>
  <c r="C17" i="35"/>
  <c r="L17" i="35"/>
  <c r="L14" i="34" s="1"/>
  <c r="G17" i="35"/>
  <c r="G14" i="34" s="1"/>
  <c r="K13" i="22"/>
  <c r="L13" i="22" s="1"/>
  <c r="AA14" i="3" s="1"/>
  <c r="B12" i="35"/>
  <c r="N25" i="35"/>
  <c r="N22" i="34" s="1"/>
  <c r="J25" i="35"/>
  <c r="J22" i="34" s="1"/>
  <c r="H25" i="35"/>
  <c r="H22" i="34" s="1"/>
  <c r="L25" i="35"/>
  <c r="L22" i="34" s="1"/>
  <c r="K25" i="35"/>
  <c r="K22" i="34" s="1"/>
  <c r="G25" i="35"/>
  <c r="G22" i="34" s="1"/>
  <c r="F25" i="35"/>
  <c r="F22" i="34" s="1"/>
  <c r="I25" i="35"/>
  <c r="I22" i="34" s="1"/>
  <c r="M25" i="35"/>
  <c r="M22" i="34" s="1"/>
  <c r="D25" i="35"/>
  <c r="D22" i="34" s="1"/>
  <c r="C25" i="35"/>
  <c r="E25" i="35"/>
  <c r="E22" i="34" s="1"/>
  <c r="H24" i="35"/>
  <c r="H21" i="34" s="1"/>
  <c r="J24" i="35"/>
  <c r="J21" i="34" s="1"/>
  <c r="N24" i="35"/>
  <c r="N21" i="34" s="1"/>
  <c r="D24" i="35"/>
  <c r="D21" i="34" s="1"/>
  <c r="I24" i="35"/>
  <c r="I21" i="34" s="1"/>
  <c r="E24" i="35"/>
  <c r="E21" i="34" s="1"/>
  <c r="K24" i="35"/>
  <c r="K21" i="34" s="1"/>
  <c r="C24" i="35"/>
  <c r="M24" i="35"/>
  <c r="M21" i="34" s="1"/>
  <c r="G24" i="35"/>
  <c r="G21" i="34" s="1"/>
  <c r="L24" i="35"/>
  <c r="L21" i="34" s="1"/>
  <c r="F24" i="35"/>
  <c r="F21" i="34" s="1"/>
  <c r="K9" i="22"/>
  <c r="L9" i="22" s="1"/>
  <c r="AA10" i="3" s="1"/>
  <c r="B8" i="35"/>
  <c r="J11" i="38"/>
  <c r="J8" i="37" s="1"/>
  <c r="M11" i="38"/>
  <c r="M8" i="37" s="1"/>
  <c r="N11" i="38"/>
  <c r="N8" i="37" s="1"/>
  <c r="H11" i="38"/>
  <c r="H8" i="37" s="1"/>
  <c r="C11" i="38"/>
  <c r="K11" i="38"/>
  <c r="K8" i="37" s="1"/>
  <c r="D11" i="38"/>
  <c r="D8" i="37" s="1"/>
  <c r="L11" i="38"/>
  <c r="L8" i="37" s="1"/>
  <c r="I11" i="38"/>
  <c r="I8" i="37" s="1"/>
  <c r="F11" i="38"/>
  <c r="F8" i="37" s="1"/>
  <c r="E11" i="38"/>
  <c r="E8" i="37" s="1"/>
  <c r="G11" i="38"/>
  <c r="G8" i="37" s="1"/>
  <c r="C22" i="38"/>
  <c r="K22" i="38"/>
  <c r="K19" i="37" s="1"/>
  <c r="H22" i="38"/>
  <c r="H19" i="37" s="1"/>
  <c r="I22" i="38"/>
  <c r="I19" i="37" s="1"/>
  <c r="G22" i="38"/>
  <c r="G19" i="37" s="1"/>
  <c r="D22" i="38"/>
  <c r="D19" i="37" s="1"/>
  <c r="L22" i="38"/>
  <c r="L19" i="37" s="1"/>
  <c r="F22" i="38"/>
  <c r="F19" i="37" s="1"/>
  <c r="E22" i="38"/>
  <c r="E19" i="37" s="1"/>
  <c r="N22" i="38"/>
  <c r="N19" i="37" s="1"/>
  <c r="J22" i="38"/>
  <c r="J19" i="37" s="1"/>
  <c r="M22" i="38"/>
  <c r="M19" i="37" s="1"/>
  <c r="D4" i="37"/>
  <c r="H4" i="37"/>
  <c r="I4" i="37"/>
  <c r="F12" i="38"/>
  <c r="F9" i="37" s="1"/>
  <c r="N12" i="38"/>
  <c r="N9" i="37" s="1"/>
  <c r="E12" i="38"/>
  <c r="E9" i="37" s="1"/>
  <c r="H12" i="38"/>
  <c r="H9" i="37" s="1"/>
  <c r="C12" i="38"/>
  <c r="K12" i="38"/>
  <c r="K9" i="37" s="1"/>
  <c r="I12" i="38"/>
  <c r="I9" i="37" s="1"/>
  <c r="J12" i="38"/>
  <c r="J9" i="37" s="1"/>
  <c r="G12" i="38"/>
  <c r="G9" i="37" s="1"/>
  <c r="D12" i="38"/>
  <c r="D9" i="37" s="1"/>
  <c r="L12" i="38"/>
  <c r="L9" i="37" s="1"/>
  <c r="M12" i="38"/>
  <c r="M9" i="37" s="1"/>
  <c r="O24" i="46"/>
  <c r="F9" i="38"/>
  <c r="F6" i="37" s="1"/>
  <c r="N9" i="38"/>
  <c r="N6" i="37" s="1"/>
  <c r="I9" i="38"/>
  <c r="I6" i="37" s="1"/>
  <c r="H9" i="38"/>
  <c r="H6" i="37" s="1"/>
  <c r="G9" i="38"/>
  <c r="G6" i="37" s="1"/>
  <c r="J9" i="38"/>
  <c r="J6" i="37" s="1"/>
  <c r="E9" i="38"/>
  <c r="E6" i="37" s="1"/>
  <c r="C9" i="38"/>
  <c r="K9" i="38"/>
  <c r="K6" i="37" s="1"/>
  <c r="D9" i="38"/>
  <c r="D6" i="37" s="1"/>
  <c r="L9" i="38"/>
  <c r="L6" i="37" s="1"/>
  <c r="M9" i="38"/>
  <c r="M6" i="37" s="1"/>
  <c r="H16" i="38"/>
  <c r="H13" i="37" s="1"/>
  <c r="E16" i="38"/>
  <c r="E13" i="37" s="1"/>
  <c r="C16" i="38"/>
  <c r="K16" i="38"/>
  <c r="K13" i="37" s="1"/>
  <c r="D16" i="38"/>
  <c r="D13" i="37" s="1"/>
  <c r="L16" i="38"/>
  <c r="L13" i="37" s="1"/>
  <c r="J16" i="38"/>
  <c r="J13" i="37" s="1"/>
  <c r="M16" i="38"/>
  <c r="M13" i="37" s="1"/>
  <c r="F16" i="38"/>
  <c r="F13" i="37" s="1"/>
  <c r="N16" i="38"/>
  <c r="N13" i="37" s="1"/>
  <c r="G16" i="38"/>
  <c r="G13" i="37" s="1"/>
  <c r="I16" i="38"/>
  <c r="I13" i="37" s="1"/>
  <c r="F18" i="38"/>
  <c r="F15" i="37" s="1"/>
  <c r="J18" i="38"/>
  <c r="J15" i="37" s="1"/>
  <c r="H18" i="38"/>
  <c r="H15" i="37" s="1"/>
  <c r="D18" i="38"/>
  <c r="D15" i="37" s="1"/>
  <c r="L18" i="38"/>
  <c r="L15" i="37" s="1"/>
  <c r="N18" i="38"/>
  <c r="N15" i="37" s="1"/>
  <c r="C18" i="38"/>
  <c r="K18" i="38"/>
  <c r="K15" i="37" s="1"/>
  <c r="E18" i="38"/>
  <c r="E15" i="37" s="1"/>
  <c r="M18" i="38"/>
  <c r="M15" i="37" s="1"/>
  <c r="G18" i="38"/>
  <c r="G15" i="37" s="1"/>
  <c r="I18" i="38"/>
  <c r="I15" i="37" s="1"/>
  <c r="J10" i="38"/>
  <c r="J7" i="37" s="1"/>
  <c r="N10" i="38"/>
  <c r="N7" i="37" s="1"/>
  <c r="C10" i="38"/>
  <c r="K10" i="38"/>
  <c r="K7" i="37" s="1"/>
  <c r="D10" i="38"/>
  <c r="D7" i="37" s="1"/>
  <c r="L10" i="38"/>
  <c r="L7" i="37" s="1"/>
  <c r="F10" i="38"/>
  <c r="F7" i="37" s="1"/>
  <c r="H10" i="38"/>
  <c r="H7" i="37" s="1"/>
  <c r="I10" i="38"/>
  <c r="I7" i="37" s="1"/>
  <c r="G10" i="38"/>
  <c r="G7" i="37" s="1"/>
  <c r="M10" i="38"/>
  <c r="M7" i="37" s="1"/>
  <c r="E10" i="38"/>
  <c r="E7" i="37" s="1"/>
  <c r="J14" i="38"/>
  <c r="J11" i="37" s="1"/>
  <c r="E14" i="38"/>
  <c r="E11" i="37" s="1"/>
  <c r="M14" i="38"/>
  <c r="M11" i="37" s="1"/>
  <c r="G14" i="38"/>
  <c r="G11" i="37" s="1"/>
  <c r="C14" i="38"/>
  <c r="K14" i="38"/>
  <c r="K11" i="37" s="1"/>
  <c r="N14" i="38"/>
  <c r="N11" i="37" s="1"/>
  <c r="F14" i="38"/>
  <c r="F11" i="37" s="1"/>
  <c r="H14" i="38"/>
  <c r="H11" i="37" s="1"/>
  <c r="I14" i="38"/>
  <c r="I11" i="37" s="1"/>
  <c r="D14" i="38"/>
  <c r="D11" i="37" s="1"/>
  <c r="L14" i="38"/>
  <c r="L11" i="37" s="1"/>
  <c r="I19" i="38"/>
  <c r="I16" i="37" s="1"/>
  <c r="J19" i="38"/>
  <c r="J16" i="37" s="1"/>
  <c r="C19" i="38"/>
  <c r="K19" i="38"/>
  <c r="K16" i="37" s="1"/>
  <c r="D19" i="38"/>
  <c r="D16" i="37" s="1"/>
  <c r="L19" i="38"/>
  <c r="L16" i="37" s="1"/>
  <c r="M19" i="38"/>
  <c r="M16" i="37" s="1"/>
  <c r="N19" i="38"/>
  <c r="N16" i="37" s="1"/>
  <c r="F19" i="38"/>
  <c r="F16" i="37" s="1"/>
  <c r="E19" i="38"/>
  <c r="E16" i="37" s="1"/>
  <c r="H19" i="38"/>
  <c r="H16" i="37" s="1"/>
  <c r="G19" i="38"/>
  <c r="G16" i="37" s="1"/>
  <c r="K4" i="37"/>
  <c r="J4" i="37"/>
  <c r="G4" i="37"/>
  <c r="E15" i="38"/>
  <c r="E12" i="37" s="1"/>
  <c r="H15" i="38"/>
  <c r="H12" i="37" s="1"/>
  <c r="C15" i="38"/>
  <c r="K15" i="38"/>
  <c r="K12" i="37" s="1"/>
  <c r="D15" i="38"/>
  <c r="D12" i="37" s="1"/>
  <c r="L15" i="38"/>
  <c r="L12" i="37" s="1"/>
  <c r="I15" i="38"/>
  <c r="I12" i="37" s="1"/>
  <c r="M15" i="38"/>
  <c r="M12" i="37" s="1"/>
  <c r="J15" i="38"/>
  <c r="J12" i="37" s="1"/>
  <c r="G15" i="38"/>
  <c r="G12" i="37" s="1"/>
  <c r="N15" i="38"/>
  <c r="N12" i="37" s="1"/>
  <c r="F15" i="38"/>
  <c r="F12" i="37" s="1"/>
  <c r="E24" i="38"/>
  <c r="E21" i="37" s="1"/>
  <c r="D24" i="38"/>
  <c r="D21" i="37" s="1"/>
  <c r="L24" i="38"/>
  <c r="L21" i="37" s="1"/>
  <c r="H24" i="38"/>
  <c r="H21" i="37" s="1"/>
  <c r="M24" i="38"/>
  <c r="M21" i="37" s="1"/>
  <c r="F24" i="38"/>
  <c r="F21" i="37" s="1"/>
  <c r="N24" i="38"/>
  <c r="N21" i="37" s="1"/>
  <c r="C24" i="38"/>
  <c r="K24" i="38"/>
  <c r="K21" i="37" s="1"/>
  <c r="J24" i="38"/>
  <c r="J21" i="37" s="1"/>
  <c r="G24" i="38"/>
  <c r="G21" i="37" s="1"/>
  <c r="I24" i="38"/>
  <c r="I21" i="37" s="1"/>
  <c r="F23" i="38"/>
  <c r="F20" i="37" s="1"/>
  <c r="N23" i="38"/>
  <c r="N20" i="37" s="1"/>
  <c r="G23" i="38"/>
  <c r="G20" i="37" s="1"/>
  <c r="M23" i="38"/>
  <c r="M20" i="37" s="1"/>
  <c r="J23" i="38"/>
  <c r="J20" i="37" s="1"/>
  <c r="I23" i="38"/>
  <c r="I20" i="37" s="1"/>
  <c r="H23" i="38"/>
  <c r="H20" i="37" s="1"/>
  <c r="E23" i="38"/>
  <c r="E20" i="37" s="1"/>
  <c r="C23" i="38"/>
  <c r="K23" i="38"/>
  <c r="K20" i="37" s="1"/>
  <c r="D23" i="38"/>
  <c r="D20" i="37" s="1"/>
  <c r="L23" i="38"/>
  <c r="L20" i="37" s="1"/>
  <c r="F25" i="38"/>
  <c r="F22" i="37" s="1"/>
  <c r="N25" i="38"/>
  <c r="N22" i="37" s="1"/>
  <c r="I25" i="38"/>
  <c r="I22" i="37" s="1"/>
  <c r="H25" i="38"/>
  <c r="H22" i="37" s="1"/>
  <c r="C25" i="38"/>
  <c r="K25" i="38"/>
  <c r="K22" i="37" s="1"/>
  <c r="D25" i="38"/>
  <c r="D22" i="37" s="1"/>
  <c r="L25" i="38"/>
  <c r="L22" i="37" s="1"/>
  <c r="G25" i="38"/>
  <c r="G22" i="37" s="1"/>
  <c r="J25" i="38"/>
  <c r="J22" i="37" s="1"/>
  <c r="E25" i="38"/>
  <c r="E22" i="37" s="1"/>
  <c r="M25" i="38"/>
  <c r="M22" i="37" s="1"/>
  <c r="O24" i="57"/>
  <c r="C4" i="37"/>
  <c r="O7" i="38"/>
  <c r="F4" i="37"/>
  <c r="E4" i="37"/>
  <c r="J17" i="38"/>
  <c r="J14" i="37" s="1"/>
  <c r="E17" i="38"/>
  <c r="E14" i="37" s="1"/>
  <c r="M17" i="38"/>
  <c r="M14" i="37" s="1"/>
  <c r="C17" i="38"/>
  <c r="K17" i="38"/>
  <c r="K14" i="37" s="1"/>
  <c r="D17" i="38"/>
  <c r="D14" i="37" s="1"/>
  <c r="L17" i="38"/>
  <c r="L14" i="37" s="1"/>
  <c r="G17" i="38"/>
  <c r="G14" i="37" s="1"/>
  <c r="F17" i="38"/>
  <c r="F14" i="37" s="1"/>
  <c r="N17" i="38"/>
  <c r="N14" i="37" s="1"/>
  <c r="H17" i="38"/>
  <c r="H14" i="37" s="1"/>
  <c r="I17" i="38"/>
  <c r="I14" i="37" s="1"/>
  <c r="C13" i="38"/>
  <c r="K13" i="38"/>
  <c r="K10" i="37" s="1"/>
  <c r="D13" i="38"/>
  <c r="D10" i="37" s="1"/>
  <c r="L13" i="38"/>
  <c r="L10" i="37" s="1"/>
  <c r="J13" i="38"/>
  <c r="J10" i="37" s="1"/>
  <c r="H13" i="38"/>
  <c r="H10" i="37" s="1"/>
  <c r="G13" i="38"/>
  <c r="G10" i="37" s="1"/>
  <c r="F13" i="38"/>
  <c r="F10" i="37" s="1"/>
  <c r="N13" i="38"/>
  <c r="N10" i="37" s="1"/>
  <c r="I13" i="38"/>
  <c r="I10" i="37" s="1"/>
  <c r="E13" i="38"/>
  <c r="E10" i="37" s="1"/>
  <c r="M13" i="38"/>
  <c r="M10" i="37" s="1"/>
  <c r="I20" i="38"/>
  <c r="I17" i="37" s="1"/>
  <c r="J20" i="38"/>
  <c r="J17" i="37" s="1"/>
  <c r="G20" i="38"/>
  <c r="G17" i="37" s="1"/>
  <c r="E20" i="38"/>
  <c r="E17" i="37" s="1"/>
  <c r="H20" i="38"/>
  <c r="H17" i="37" s="1"/>
  <c r="D20" i="38"/>
  <c r="D17" i="37" s="1"/>
  <c r="L20" i="38"/>
  <c r="L17" i="37" s="1"/>
  <c r="F20" i="38"/>
  <c r="F17" i="37" s="1"/>
  <c r="N20" i="38"/>
  <c r="N17" i="37" s="1"/>
  <c r="C20" i="38"/>
  <c r="K20" i="38"/>
  <c r="K17" i="37" s="1"/>
  <c r="M20" i="38"/>
  <c r="M17" i="37" s="1"/>
  <c r="C21" i="38"/>
  <c r="K21" i="38"/>
  <c r="K18" i="37" s="1"/>
  <c r="D21" i="38"/>
  <c r="D18" i="37" s="1"/>
  <c r="L21" i="38"/>
  <c r="L18" i="37" s="1"/>
  <c r="G21" i="38"/>
  <c r="G18" i="37" s="1"/>
  <c r="F21" i="38"/>
  <c r="F18" i="37" s="1"/>
  <c r="N21" i="38"/>
  <c r="N18" i="37" s="1"/>
  <c r="J21" i="38"/>
  <c r="J18" i="37" s="1"/>
  <c r="E21" i="38"/>
  <c r="E18" i="37" s="1"/>
  <c r="M21" i="38"/>
  <c r="M18" i="37" s="1"/>
  <c r="H21" i="38"/>
  <c r="H18" i="37" s="1"/>
  <c r="I21" i="38"/>
  <c r="I18" i="37" s="1"/>
  <c r="F8" i="38"/>
  <c r="F5" i="37" s="1"/>
  <c r="N8" i="38"/>
  <c r="N5" i="37" s="1"/>
  <c r="E8" i="38"/>
  <c r="E5" i="37" s="1"/>
  <c r="C8" i="38"/>
  <c r="K8" i="38"/>
  <c r="K5" i="37" s="1"/>
  <c r="D8" i="38"/>
  <c r="D5" i="37" s="1"/>
  <c r="L8" i="38"/>
  <c r="L5" i="37" s="1"/>
  <c r="H8" i="38"/>
  <c r="H5" i="37" s="1"/>
  <c r="M8" i="38"/>
  <c r="M5" i="37" s="1"/>
  <c r="J8" i="38"/>
  <c r="J5" i="37" s="1"/>
  <c r="G8" i="38"/>
  <c r="G5" i="37" s="1"/>
  <c r="I8" i="38"/>
  <c r="I5" i="37" s="1"/>
  <c r="N26" i="38"/>
  <c r="N23" i="37" s="1"/>
  <c r="D26" i="38"/>
  <c r="D23" i="37" s="1"/>
  <c r="L26" i="38"/>
  <c r="L23" i="37" s="1"/>
  <c r="G26" i="38"/>
  <c r="G23" i="37" s="1"/>
  <c r="F26" i="38"/>
  <c r="F23" i="37" s="1"/>
  <c r="J26" i="38"/>
  <c r="J23" i="37" s="1"/>
  <c r="C26" i="38"/>
  <c r="K26" i="38"/>
  <c r="K23" i="37" s="1"/>
  <c r="H26" i="38"/>
  <c r="H23" i="37" s="1"/>
  <c r="I26" i="38"/>
  <c r="I23" i="37" s="1"/>
  <c r="M26" i="38"/>
  <c r="M23" i="37" s="1"/>
  <c r="E26" i="38"/>
  <c r="E23" i="37" s="1"/>
  <c r="L4" i="37"/>
  <c r="N4" i="37"/>
  <c r="M4" i="37"/>
  <c r="B27" i="38"/>
  <c r="Q28" i="5"/>
  <c r="I28" i="22"/>
  <c r="J28" i="22" s="1"/>
  <c r="J8" i="22"/>
  <c r="O28" i="4"/>
  <c r="P28" i="4"/>
  <c r="Q17" i="4" s="1"/>
  <c r="M28" i="4"/>
  <c r="N28" i="4" s="1"/>
  <c r="N28" i="8"/>
  <c r="L28" i="8"/>
  <c r="P9" i="65" l="1"/>
  <c r="P18" i="65"/>
  <c r="P24" i="65"/>
  <c r="P22" i="65"/>
  <c r="P16" i="65"/>
  <c r="P12" i="65"/>
  <c r="P15" i="65"/>
  <c r="P20" i="65"/>
  <c r="P23" i="65"/>
  <c r="P25" i="65"/>
  <c r="P17" i="65"/>
  <c r="P19" i="65"/>
  <c r="P14" i="65"/>
  <c r="P28" i="65"/>
  <c r="P21" i="65"/>
  <c r="P10" i="65"/>
  <c r="P13" i="65"/>
  <c r="P26" i="65"/>
  <c r="P11" i="65"/>
  <c r="P27" i="65"/>
  <c r="O25" i="35"/>
  <c r="C22" i="34"/>
  <c r="O22" i="34" s="1"/>
  <c r="C12" i="34"/>
  <c r="O12" i="34" s="1"/>
  <c r="O15" i="35"/>
  <c r="C21" i="34"/>
  <c r="O21" i="34" s="1"/>
  <c r="O24" i="35"/>
  <c r="J12" i="35"/>
  <c r="J9" i="34" s="1"/>
  <c r="N12" i="35"/>
  <c r="N9" i="34" s="1"/>
  <c r="H12" i="35"/>
  <c r="H9" i="34" s="1"/>
  <c r="G12" i="35"/>
  <c r="G9" i="34" s="1"/>
  <c r="F12" i="35"/>
  <c r="F9" i="34" s="1"/>
  <c r="M12" i="35"/>
  <c r="M9" i="34" s="1"/>
  <c r="K12" i="35"/>
  <c r="K9" i="34" s="1"/>
  <c r="C12" i="35"/>
  <c r="D12" i="35"/>
  <c r="D9" i="34" s="1"/>
  <c r="E12" i="35"/>
  <c r="E9" i="34" s="1"/>
  <c r="I12" i="35"/>
  <c r="I9" i="34" s="1"/>
  <c r="L12" i="35"/>
  <c r="L9" i="34" s="1"/>
  <c r="C14" i="34"/>
  <c r="O14" i="34" s="1"/>
  <c r="O17" i="35"/>
  <c r="C19" i="34"/>
  <c r="O19" i="34" s="1"/>
  <c r="O22" i="35"/>
  <c r="C18" i="34"/>
  <c r="O18" i="34" s="1"/>
  <c r="O21" i="35"/>
  <c r="C6" i="34"/>
  <c r="O6" i="34" s="1"/>
  <c r="O9" i="35"/>
  <c r="H16" i="35"/>
  <c r="H13" i="34" s="1"/>
  <c r="J16" i="35"/>
  <c r="J13" i="34" s="1"/>
  <c r="N16" i="35"/>
  <c r="N13" i="34" s="1"/>
  <c r="M16" i="35"/>
  <c r="M13" i="34" s="1"/>
  <c r="I16" i="35"/>
  <c r="I13" i="34" s="1"/>
  <c r="E16" i="35"/>
  <c r="E13" i="34" s="1"/>
  <c r="C16" i="35"/>
  <c r="D16" i="35"/>
  <c r="D13" i="34" s="1"/>
  <c r="F16" i="35"/>
  <c r="F13" i="34" s="1"/>
  <c r="G16" i="35"/>
  <c r="G13" i="34" s="1"/>
  <c r="K16" i="35"/>
  <c r="K13" i="34" s="1"/>
  <c r="L16" i="35"/>
  <c r="L13" i="34" s="1"/>
  <c r="O10" i="35"/>
  <c r="C7" i="34"/>
  <c r="O7" i="34" s="1"/>
  <c r="H8" i="35"/>
  <c r="H5" i="34" s="1"/>
  <c r="J8" i="35"/>
  <c r="J5" i="34" s="1"/>
  <c r="N8" i="35"/>
  <c r="N5" i="34" s="1"/>
  <c r="D8" i="35"/>
  <c r="D5" i="34" s="1"/>
  <c r="M8" i="35"/>
  <c r="M5" i="34" s="1"/>
  <c r="I8" i="35"/>
  <c r="I5" i="34" s="1"/>
  <c r="G8" i="35"/>
  <c r="G5" i="34" s="1"/>
  <c r="E8" i="35"/>
  <c r="E5" i="34" s="1"/>
  <c r="K8" i="35"/>
  <c r="K5" i="34" s="1"/>
  <c r="C8" i="35"/>
  <c r="L8" i="35"/>
  <c r="L5" i="34" s="1"/>
  <c r="F8" i="35"/>
  <c r="F5" i="34" s="1"/>
  <c r="C23" i="34"/>
  <c r="O23" i="34" s="1"/>
  <c r="O26" i="35"/>
  <c r="C11" i="34"/>
  <c r="O11" i="34" s="1"/>
  <c r="O14" i="35"/>
  <c r="H20" i="35"/>
  <c r="H17" i="34" s="1"/>
  <c r="N20" i="35"/>
  <c r="N17" i="34" s="1"/>
  <c r="J20" i="35"/>
  <c r="J17" i="34" s="1"/>
  <c r="K20" i="35"/>
  <c r="K17" i="34" s="1"/>
  <c r="D20" i="35"/>
  <c r="D17" i="34" s="1"/>
  <c r="G20" i="35"/>
  <c r="G17" i="34" s="1"/>
  <c r="E20" i="35"/>
  <c r="E17" i="34" s="1"/>
  <c r="C20" i="35"/>
  <c r="L20" i="35"/>
  <c r="L17" i="34" s="1"/>
  <c r="M20" i="35"/>
  <c r="M17" i="34" s="1"/>
  <c r="I20" i="35"/>
  <c r="I17" i="34" s="1"/>
  <c r="F20" i="35"/>
  <c r="F17" i="34" s="1"/>
  <c r="C20" i="34"/>
  <c r="O20" i="34" s="1"/>
  <c r="O23" i="35"/>
  <c r="C16" i="34"/>
  <c r="O16" i="34" s="1"/>
  <c r="O19" i="35"/>
  <c r="H13" i="35"/>
  <c r="H10" i="34" s="1"/>
  <c r="N13" i="35"/>
  <c r="N10" i="34" s="1"/>
  <c r="J13" i="35"/>
  <c r="J10" i="34" s="1"/>
  <c r="D13" i="35"/>
  <c r="D10" i="34" s="1"/>
  <c r="G13" i="35"/>
  <c r="G10" i="34" s="1"/>
  <c r="E13" i="35"/>
  <c r="E10" i="34" s="1"/>
  <c r="K13" i="35"/>
  <c r="K10" i="34" s="1"/>
  <c r="I13" i="35"/>
  <c r="I10" i="34" s="1"/>
  <c r="F13" i="35"/>
  <c r="F10" i="34" s="1"/>
  <c r="C13" i="35"/>
  <c r="M13" i="35"/>
  <c r="M10" i="34" s="1"/>
  <c r="L13" i="35"/>
  <c r="L10" i="34" s="1"/>
  <c r="K8" i="22"/>
  <c r="L8" i="22" s="1"/>
  <c r="B7" i="35"/>
  <c r="O11" i="35"/>
  <c r="C8" i="34"/>
  <c r="O8" i="34" s="1"/>
  <c r="C15" i="34"/>
  <c r="O15" i="34" s="1"/>
  <c r="O18" i="35"/>
  <c r="Q23" i="4"/>
  <c r="G23" i="14" s="1"/>
  <c r="Q21" i="4"/>
  <c r="Q19" i="4"/>
  <c r="G19" i="13" s="1"/>
  <c r="Q10" i="4"/>
  <c r="G10" i="13" s="1"/>
  <c r="Q16" i="4"/>
  <c r="G16" i="14" s="1"/>
  <c r="Q11" i="4"/>
  <c r="M24" i="37"/>
  <c r="Q26" i="4"/>
  <c r="G26" i="13" s="1"/>
  <c r="Q14" i="4"/>
  <c r="G14" i="14" s="1"/>
  <c r="L24" i="37"/>
  <c r="L27" i="38"/>
  <c r="M27" i="38"/>
  <c r="N27" i="38"/>
  <c r="C27" i="38"/>
  <c r="Q8" i="4"/>
  <c r="G8" i="14" s="1"/>
  <c r="N24" i="37"/>
  <c r="Q13" i="4"/>
  <c r="R13" i="4" s="1"/>
  <c r="O26" i="38"/>
  <c r="C23" i="37"/>
  <c r="O23" i="37" s="1"/>
  <c r="E27" i="38"/>
  <c r="O15" i="38"/>
  <c r="C12" i="37"/>
  <c r="O12" i="37" s="1"/>
  <c r="G27" i="38"/>
  <c r="K27" i="38"/>
  <c r="C11" i="37"/>
  <c r="O11" i="37" s="1"/>
  <c r="O14" i="38"/>
  <c r="H24" i="37"/>
  <c r="C17" i="37"/>
  <c r="O17" i="37" s="1"/>
  <c r="O20" i="38"/>
  <c r="F27" i="38"/>
  <c r="O4" i="37"/>
  <c r="J27" i="38"/>
  <c r="C6" i="37"/>
  <c r="O6" i="37" s="1"/>
  <c r="O9" i="38"/>
  <c r="O12" i="38"/>
  <c r="C9" i="37"/>
  <c r="O9" i="37" s="1"/>
  <c r="H27" i="38"/>
  <c r="C18" i="37"/>
  <c r="O18" i="37" s="1"/>
  <c r="O21" i="38"/>
  <c r="O13" i="38"/>
  <c r="C10" i="37"/>
  <c r="O10" i="37" s="1"/>
  <c r="F24" i="37"/>
  <c r="C22" i="37"/>
  <c r="O22" i="37" s="1"/>
  <c r="O25" i="38"/>
  <c r="C20" i="37"/>
  <c r="O20" i="37" s="1"/>
  <c r="O23" i="38"/>
  <c r="J24" i="37"/>
  <c r="O19" i="38"/>
  <c r="C16" i="37"/>
  <c r="O16" i="37" s="1"/>
  <c r="C7" i="37"/>
  <c r="O7" i="37" s="1"/>
  <c r="O10" i="38"/>
  <c r="C15" i="37"/>
  <c r="O15" i="37" s="1"/>
  <c r="O18" i="38"/>
  <c r="C13" i="37"/>
  <c r="O13" i="37" s="1"/>
  <c r="O16" i="38"/>
  <c r="I27" i="38"/>
  <c r="D24" i="37"/>
  <c r="C5" i="37"/>
  <c r="O5" i="37" s="1"/>
  <c r="O8" i="38"/>
  <c r="O17" i="38"/>
  <c r="C14" i="37"/>
  <c r="O14" i="37" s="1"/>
  <c r="E24" i="37"/>
  <c r="O24" i="38"/>
  <c r="C21" i="37"/>
  <c r="O21" i="37" s="1"/>
  <c r="G24" i="37"/>
  <c r="K24" i="37"/>
  <c r="I24" i="37"/>
  <c r="D27" i="38"/>
  <c r="C19" i="37"/>
  <c r="O19" i="37" s="1"/>
  <c r="O22" i="38"/>
  <c r="O11" i="38"/>
  <c r="C8" i="37"/>
  <c r="O8" i="37" s="1"/>
  <c r="Q27" i="4"/>
  <c r="R27" i="4" s="1"/>
  <c r="Q18" i="4"/>
  <c r="R18" i="4" s="1"/>
  <c r="Q22" i="4"/>
  <c r="G22" i="14" s="1"/>
  <c r="Q12" i="4"/>
  <c r="G12" i="14" s="1"/>
  <c r="Q15" i="4"/>
  <c r="G15" i="14" s="1"/>
  <c r="Q25" i="4"/>
  <c r="R25" i="4" s="1"/>
  <c r="Q24" i="4"/>
  <c r="G24" i="14" s="1"/>
  <c r="Q20" i="4"/>
  <c r="G20" i="14" s="1"/>
  <c r="Q9" i="4"/>
  <c r="R9" i="4" s="1"/>
  <c r="G21" i="14"/>
  <c r="G21" i="13"/>
  <c r="G10" i="14"/>
  <c r="G17" i="14"/>
  <c r="G17" i="13"/>
  <c r="G11" i="14"/>
  <c r="G11" i="13"/>
  <c r="R17" i="4"/>
  <c r="R11" i="4"/>
  <c r="R21" i="4"/>
  <c r="Q28" i="65" l="1"/>
  <c r="T28" i="65" s="1"/>
  <c r="R28" i="65"/>
  <c r="S28" i="65" s="1"/>
  <c r="AM28" i="3" s="1"/>
  <c r="Q27" i="65"/>
  <c r="T27" i="65" s="1"/>
  <c r="R27" i="65"/>
  <c r="S27" i="65" s="1"/>
  <c r="AM27" i="3" s="1"/>
  <c r="R10" i="65"/>
  <c r="S10" i="65" s="1"/>
  <c r="AM10" i="3" s="1"/>
  <c r="Q10" i="65"/>
  <c r="T10" i="65" s="1"/>
  <c r="Q19" i="65"/>
  <c r="T19" i="65" s="1"/>
  <c r="R19" i="65"/>
  <c r="S19" i="65" s="1"/>
  <c r="AM19" i="3" s="1"/>
  <c r="Q20" i="65"/>
  <c r="T20" i="65" s="1"/>
  <c r="R20" i="65"/>
  <c r="S20" i="65" s="1"/>
  <c r="AM20" i="3" s="1"/>
  <c r="Q22" i="65"/>
  <c r="T22" i="65" s="1"/>
  <c r="R22" i="65"/>
  <c r="S22" i="65" s="1"/>
  <c r="AM22" i="3" s="1"/>
  <c r="Q12" i="65"/>
  <c r="T12" i="65" s="1"/>
  <c r="R12" i="65"/>
  <c r="S12" i="65" s="1"/>
  <c r="AM12" i="3" s="1"/>
  <c r="R11" i="65"/>
  <c r="S11" i="65" s="1"/>
  <c r="AM11" i="3" s="1"/>
  <c r="Q11" i="65"/>
  <c r="T11" i="65" s="1"/>
  <c r="Q21" i="65"/>
  <c r="T21" i="65" s="1"/>
  <c r="R21" i="65"/>
  <c r="S21" i="65" s="1"/>
  <c r="AM21" i="3" s="1"/>
  <c r="Q17" i="65"/>
  <c r="T17" i="65" s="1"/>
  <c r="R17" i="65"/>
  <c r="S17" i="65" s="1"/>
  <c r="AM17" i="3" s="1"/>
  <c r="Q15" i="65"/>
  <c r="T15" i="65" s="1"/>
  <c r="R15" i="65"/>
  <c r="S15" i="65" s="1"/>
  <c r="AM15" i="3" s="1"/>
  <c r="Q24" i="65"/>
  <c r="T24" i="65" s="1"/>
  <c r="R24" i="65"/>
  <c r="S24" i="65" s="1"/>
  <c r="AM24" i="3" s="1"/>
  <c r="Q25" i="65"/>
  <c r="T25" i="65" s="1"/>
  <c r="R25" i="65"/>
  <c r="S25" i="65" s="1"/>
  <c r="AM25" i="3" s="1"/>
  <c r="Q26" i="65"/>
  <c r="T26" i="65" s="1"/>
  <c r="R26" i="65"/>
  <c r="S26" i="65" s="1"/>
  <c r="AM26" i="3" s="1"/>
  <c r="Q18" i="65"/>
  <c r="T18" i="65" s="1"/>
  <c r="R18" i="65"/>
  <c r="S18" i="65" s="1"/>
  <c r="AM18" i="3" s="1"/>
  <c r="Q13" i="65"/>
  <c r="T13" i="65" s="1"/>
  <c r="R13" i="65"/>
  <c r="S13" i="65" s="1"/>
  <c r="AM13" i="3" s="1"/>
  <c r="Q14" i="65"/>
  <c r="T14" i="65" s="1"/>
  <c r="R14" i="65"/>
  <c r="S14" i="65" s="1"/>
  <c r="AM14" i="3" s="1"/>
  <c r="Q23" i="65"/>
  <c r="T23" i="65" s="1"/>
  <c r="R23" i="65"/>
  <c r="S23" i="65" s="1"/>
  <c r="AM23" i="3" s="1"/>
  <c r="Q16" i="65"/>
  <c r="T16" i="65" s="1"/>
  <c r="R16" i="65"/>
  <c r="S16" i="65" s="1"/>
  <c r="AM16" i="3" s="1"/>
  <c r="R9" i="65"/>
  <c r="S9" i="65" s="1"/>
  <c r="Q9" i="65"/>
  <c r="P29" i="65"/>
  <c r="L28" i="22"/>
  <c r="AA9" i="3"/>
  <c r="AA29" i="3" s="1"/>
  <c r="O20" i="35"/>
  <c r="C17" i="34"/>
  <c r="O17" i="34" s="1"/>
  <c r="B27" i="35"/>
  <c r="N7" i="35"/>
  <c r="N4" i="34" s="1"/>
  <c r="N24" i="34" s="1"/>
  <c r="J7" i="35"/>
  <c r="J4" i="34" s="1"/>
  <c r="J24" i="34" s="1"/>
  <c r="H7" i="35"/>
  <c r="H4" i="34" s="1"/>
  <c r="H24" i="34" s="1"/>
  <c r="I7" i="35"/>
  <c r="I4" i="34" s="1"/>
  <c r="I24" i="34" s="1"/>
  <c r="L7" i="35"/>
  <c r="L4" i="34" s="1"/>
  <c r="L24" i="34" s="1"/>
  <c r="D7" i="35"/>
  <c r="D4" i="34" s="1"/>
  <c r="D24" i="34" s="1"/>
  <c r="M7" i="35"/>
  <c r="M4" i="34" s="1"/>
  <c r="M24" i="34" s="1"/>
  <c r="G7" i="35"/>
  <c r="G4" i="34" s="1"/>
  <c r="G24" i="34" s="1"/>
  <c r="C7" i="35"/>
  <c r="K7" i="35"/>
  <c r="K4" i="34" s="1"/>
  <c r="K24" i="34" s="1"/>
  <c r="F7" i="35"/>
  <c r="F4" i="34" s="1"/>
  <c r="F24" i="34" s="1"/>
  <c r="E7" i="35"/>
  <c r="E4" i="34" s="1"/>
  <c r="E24" i="34" s="1"/>
  <c r="C10" i="34"/>
  <c r="O10" i="34" s="1"/>
  <c r="O13" i="35"/>
  <c r="C5" i="34"/>
  <c r="O5" i="34" s="1"/>
  <c r="O8" i="35"/>
  <c r="C9" i="34"/>
  <c r="O9" i="34" s="1"/>
  <c r="O12" i="35"/>
  <c r="C13" i="34"/>
  <c r="O13" i="34" s="1"/>
  <c r="O16" i="35"/>
  <c r="R10" i="4"/>
  <c r="S10" i="4" s="1"/>
  <c r="T10" i="4" s="1"/>
  <c r="T11" i="3" s="1"/>
  <c r="R14" i="4"/>
  <c r="G14" i="13"/>
  <c r="H14" i="13" s="1"/>
  <c r="G23" i="13"/>
  <c r="H23" i="13" s="1"/>
  <c r="G16" i="13"/>
  <c r="H16" i="13" s="1"/>
  <c r="R16" i="4"/>
  <c r="R23" i="4"/>
  <c r="AF24" i="3" s="1"/>
  <c r="R19" i="4"/>
  <c r="U19" i="4" s="1"/>
  <c r="G19" i="14"/>
  <c r="I19" i="14" s="1"/>
  <c r="J19" i="14" s="1"/>
  <c r="AG20" i="3" s="1"/>
  <c r="G13" i="13"/>
  <c r="I13" i="13" s="1"/>
  <c r="J13" i="13" s="1"/>
  <c r="AI14" i="3" s="1"/>
  <c r="R26" i="4"/>
  <c r="S26" i="4" s="1"/>
  <c r="T26" i="4" s="1"/>
  <c r="T27" i="3" s="1"/>
  <c r="G26" i="14"/>
  <c r="H26" i="14" s="1"/>
  <c r="L26" i="14" s="1"/>
  <c r="N26" i="14" s="1"/>
  <c r="G8" i="13"/>
  <c r="H8" i="13" s="1"/>
  <c r="G18" i="14"/>
  <c r="I18" i="14" s="1"/>
  <c r="J18" i="14" s="1"/>
  <c r="AG19" i="3" s="1"/>
  <c r="R8" i="4"/>
  <c r="U8" i="4" s="1"/>
  <c r="O27" i="38"/>
  <c r="G13" i="14"/>
  <c r="I13" i="14" s="1"/>
  <c r="J13" i="14" s="1"/>
  <c r="AG14" i="3" s="1"/>
  <c r="C24" i="37"/>
  <c r="O24" i="37" s="1"/>
  <c r="G9" i="13"/>
  <c r="H9" i="13" s="1"/>
  <c r="G12" i="13"/>
  <c r="I12" i="13" s="1"/>
  <c r="J12" i="13" s="1"/>
  <c r="AI13" i="3" s="1"/>
  <c r="R20" i="4"/>
  <c r="AH21" i="3" s="1"/>
  <c r="G18" i="13"/>
  <c r="H18" i="13" s="1"/>
  <c r="G27" i="14"/>
  <c r="I27" i="14" s="1"/>
  <c r="J27" i="14" s="1"/>
  <c r="AG28" i="3" s="1"/>
  <c r="G25" i="14"/>
  <c r="I25" i="14" s="1"/>
  <c r="J25" i="14" s="1"/>
  <c r="AG26" i="3" s="1"/>
  <c r="G24" i="13"/>
  <c r="I24" i="13" s="1"/>
  <c r="J24" i="13" s="1"/>
  <c r="AI25" i="3" s="1"/>
  <c r="R22" i="4"/>
  <c r="U22" i="4" s="1"/>
  <c r="G25" i="13"/>
  <c r="H25" i="13" s="1"/>
  <c r="G9" i="14"/>
  <c r="H9" i="14" s="1"/>
  <c r="L9" i="14" s="1"/>
  <c r="N9" i="14" s="1"/>
  <c r="G15" i="13"/>
  <c r="I15" i="13" s="1"/>
  <c r="J15" i="13" s="1"/>
  <c r="AI16" i="3" s="1"/>
  <c r="R12" i="4"/>
  <c r="U12" i="4" s="1"/>
  <c r="G20" i="13"/>
  <c r="I20" i="13" s="1"/>
  <c r="J20" i="13" s="1"/>
  <c r="AI21" i="3" s="1"/>
  <c r="Q28" i="4"/>
  <c r="G27" i="13"/>
  <c r="I27" i="13" s="1"/>
  <c r="J27" i="13" s="1"/>
  <c r="AI28" i="3" s="1"/>
  <c r="R24" i="4"/>
  <c r="AF25" i="3" s="1"/>
  <c r="G22" i="13"/>
  <c r="H22" i="13" s="1"/>
  <c r="R15" i="4"/>
  <c r="U15" i="4" s="1"/>
  <c r="I17" i="13"/>
  <c r="J17" i="13" s="1"/>
  <c r="AI18" i="3" s="1"/>
  <c r="H17" i="13"/>
  <c r="I10" i="13"/>
  <c r="J10" i="13" s="1"/>
  <c r="AI11" i="3" s="1"/>
  <c r="H10" i="13"/>
  <c r="U10" i="4"/>
  <c r="U17" i="4"/>
  <c r="S17" i="4"/>
  <c r="T17" i="4" s="1"/>
  <c r="T18" i="3" s="1"/>
  <c r="AF18" i="3"/>
  <c r="AH18" i="3"/>
  <c r="I14" i="14"/>
  <c r="J14" i="14" s="1"/>
  <c r="AG15" i="3" s="1"/>
  <c r="H14" i="14"/>
  <c r="L14" i="14" s="1"/>
  <c r="N14" i="14" s="1"/>
  <c r="I11" i="14"/>
  <c r="J11" i="14" s="1"/>
  <c r="AG12" i="3" s="1"/>
  <c r="H11" i="14"/>
  <c r="L11" i="14" s="1"/>
  <c r="N11" i="14" s="1"/>
  <c r="I23" i="14"/>
  <c r="J23" i="14" s="1"/>
  <c r="AG24" i="3" s="1"/>
  <c r="H23" i="14"/>
  <c r="L23" i="14" s="1"/>
  <c r="N23" i="14" s="1"/>
  <c r="I22" i="14"/>
  <c r="J22" i="14" s="1"/>
  <c r="AG23" i="3" s="1"/>
  <c r="H22" i="14"/>
  <c r="L22" i="14" s="1"/>
  <c r="N22" i="14" s="1"/>
  <c r="I17" i="14"/>
  <c r="J17" i="14" s="1"/>
  <c r="AG18" i="3" s="1"/>
  <c r="H17" i="14"/>
  <c r="L17" i="14" s="1"/>
  <c r="N17" i="14" s="1"/>
  <c r="I20" i="14"/>
  <c r="J20" i="14" s="1"/>
  <c r="AG21" i="3" s="1"/>
  <c r="H20" i="14"/>
  <c r="L20" i="14" s="1"/>
  <c r="N20" i="14" s="1"/>
  <c r="I12" i="14"/>
  <c r="J12" i="14" s="1"/>
  <c r="AG13" i="3" s="1"/>
  <c r="H12" i="14"/>
  <c r="L12" i="14" s="1"/>
  <c r="N12" i="14" s="1"/>
  <c r="I10" i="14"/>
  <c r="J10" i="14" s="1"/>
  <c r="AG11" i="3" s="1"/>
  <c r="H10" i="14"/>
  <c r="L10" i="14" s="1"/>
  <c r="N10" i="14" s="1"/>
  <c r="I15" i="14"/>
  <c r="J15" i="14" s="1"/>
  <c r="AG16" i="3" s="1"/>
  <c r="H15" i="14"/>
  <c r="L15" i="14" s="1"/>
  <c r="N15" i="14" s="1"/>
  <c r="U16" i="4"/>
  <c r="S16" i="4"/>
  <c r="T16" i="4" s="1"/>
  <c r="T17" i="3" s="1"/>
  <c r="AH17" i="3"/>
  <c r="AF17" i="3"/>
  <c r="H13" i="13"/>
  <c r="AH27" i="3"/>
  <c r="U25" i="4"/>
  <c r="S25" i="4"/>
  <c r="T25" i="4" s="1"/>
  <c r="T26" i="3" s="1"/>
  <c r="AF26" i="3"/>
  <c r="AH26" i="3"/>
  <c r="U13" i="4"/>
  <c r="S13" i="4"/>
  <c r="T13" i="4" s="1"/>
  <c r="T14" i="3" s="1"/>
  <c r="AH14" i="3"/>
  <c r="AF14" i="3"/>
  <c r="H26" i="13"/>
  <c r="I26" i="13"/>
  <c r="J26" i="13" s="1"/>
  <c r="AI27" i="3" s="1"/>
  <c r="I19" i="13"/>
  <c r="J19" i="13" s="1"/>
  <c r="AI20" i="3" s="1"/>
  <c r="H19" i="13"/>
  <c r="I21" i="13"/>
  <c r="J21" i="13" s="1"/>
  <c r="AI22" i="3" s="1"/>
  <c r="H21" i="13"/>
  <c r="U18" i="4"/>
  <c r="S18" i="4"/>
  <c r="T18" i="4" s="1"/>
  <c r="T19" i="3" s="1"/>
  <c r="AF19" i="3"/>
  <c r="AH19" i="3"/>
  <c r="H11" i="13"/>
  <c r="I11" i="13"/>
  <c r="J11" i="13" s="1"/>
  <c r="AI12" i="3" s="1"/>
  <c r="S23" i="4"/>
  <c r="T23" i="4" s="1"/>
  <c r="T24" i="3" s="1"/>
  <c r="U21" i="4"/>
  <c r="S21" i="4"/>
  <c r="T21" i="4" s="1"/>
  <c r="T22" i="3" s="1"/>
  <c r="AH22" i="3"/>
  <c r="AF22" i="3"/>
  <c r="U27" i="4"/>
  <c r="S27" i="4"/>
  <c r="T27" i="4" s="1"/>
  <c r="T28" i="3" s="1"/>
  <c r="AF28" i="3"/>
  <c r="AH28" i="3"/>
  <c r="U14" i="4"/>
  <c r="S14" i="4"/>
  <c r="T14" i="4" s="1"/>
  <c r="T15" i="3" s="1"/>
  <c r="AH15" i="3"/>
  <c r="AF15" i="3"/>
  <c r="U11" i="4"/>
  <c r="S11" i="4"/>
  <c r="T11" i="4" s="1"/>
  <c r="T12" i="3" s="1"/>
  <c r="AF12" i="3"/>
  <c r="AH12" i="3"/>
  <c r="U9" i="4"/>
  <c r="S9" i="4"/>
  <c r="T9" i="4" s="1"/>
  <c r="T10" i="3" s="1"/>
  <c r="AF10" i="3"/>
  <c r="AH10" i="3"/>
  <c r="I16" i="14"/>
  <c r="J16" i="14" s="1"/>
  <c r="AG17" i="3" s="1"/>
  <c r="H16" i="14"/>
  <c r="L16" i="14" s="1"/>
  <c r="N16" i="14" s="1"/>
  <c r="I8" i="14"/>
  <c r="J8" i="14" s="1"/>
  <c r="H8" i="14"/>
  <c r="L8" i="14" s="1"/>
  <c r="N8" i="14" s="1"/>
  <c r="N28" i="14" s="1"/>
  <c r="I24" i="14"/>
  <c r="J24" i="14" s="1"/>
  <c r="AG25" i="3" s="1"/>
  <c r="H24" i="14"/>
  <c r="L24" i="14" s="1"/>
  <c r="N24" i="14" s="1"/>
  <c r="H18" i="14"/>
  <c r="L18" i="14" s="1"/>
  <c r="N18" i="14" s="1"/>
  <c r="I21" i="14"/>
  <c r="J21" i="14" s="1"/>
  <c r="AG22" i="3" s="1"/>
  <c r="H21" i="14"/>
  <c r="L21" i="14" s="1"/>
  <c r="N21" i="14" s="1"/>
  <c r="AE29" i="3"/>
  <c r="W29" i="3"/>
  <c r="I29" i="3"/>
  <c r="J25" i="3" s="1"/>
  <c r="K25" i="3" s="1"/>
  <c r="E29" i="3"/>
  <c r="D23" i="3" s="1"/>
  <c r="F23" i="3" s="1"/>
  <c r="G23" i="3" s="1"/>
  <c r="H23" i="3" s="1"/>
  <c r="B29" i="3"/>
  <c r="C28" i="3"/>
  <c r="C27" i="3"/>
  <c r="C26" i="3"/>
  <c r="C25" i="3"/>
  <c r="C24" i="3"/>
  <c r="C23" i="3"/>
  <c r="C22" i="3"/>
  <c r="C21" i="3"/>
  <c r="C20" i="3"/>
  <c r="Q29" i="65" l="1"/>
  <c r="T9" i="65"/>
  <c r="B6" i="68"/>
  <c r="AL11" i="3"/>
  <c r="AM9" i="3"/>
  <c r="AM29" i="3" s="1"/>
  <c r="S29" i="65"/>
  <c r="B18" i="68"/>
  <c r="AL23" i="3"/>
  <c r="AL13" i="3"/>
  <c r="B8" i="68"/>
  <c r="AL26" i="3"/>
  <c r="B21" i="68"/>
  <c r="B19" i="68"/>
  <c r="AL24" i="3"/>
  <c r="B12" i="68"/>
  <c r="AL17" i="3"/>
  <c r="AL22" i="3"/>
  <c r="B17" i="68"/>
  <c r="B14" i="68"/>
  <c r="AL19" i="3"/>
  <c r="B22" i="68"/>
  <c r="AL27" i="3"/>
  <c r="AL10" i="3"/>
  <c r="B5" i="68"/>
  <c r="B11" i="68"/>
  <c r="AL16" i="3"/>
  <c r="AL14" i="3"/>
  <c r="B9" i="68"/>
  <c r="AL18" i="3"/>
  <c r="B13" i="68"/>
  <c r="B20" i="68"/>
  <c r="AL25" i="3"/>
  <c r="B10" i="68"/>
  <c r="AL15" i="3"/>
  <c r="AL21" i="3"/>
  <c r="B16" i="68"/>
  <c r="B7" i="68"/>
  <c r="AL12" i="3"/>
  <c r="B15" i="68"/>
  <c r="AL20" i="3"/>
  <c r="B23" i="68"/>
  <c r="AL28" i="3"/>
  <c r="C4" i="34"/>
  <c r="O7" i="35"/>
  <c r="AH9" i="3"/>
  <c r="I9" i="13"/>
  <c r="J9" i="13" s="1"/>
  <c r="AI10" i="3" s="1"/>
  <c r="AF11" i="3"/>
  <c r="AH11" i="3"/>
  <c r="I23" i="13"/>
  <c r="J23" i="13" s="1"/>
  <c r="AI24" i="3" s="1"/>
  <c r="AF20" i="3"/>
  <c r="AH24" i="3"/>
  <c r="U26" i="4"/>
  <c r="B25" i="51" s="1"/>
  <c r="U23" i="4"/>
  <c r="B22" i="51" s="1"/>
  <c r="AF27" i="3"/>
  <c r="I22" i="13"/>
  <c r="J22" i="13" s="1"/>
  <c r="AI23" i="3" s="1"/>
  <c r="I14" i="13"/>
  <c r="J14" i="13" s="1"/>
  <c r="AI15" i="3" s="1"/>
  <c r="I26" i="14"/>
  <c r="J26" i="14" s="1"/>
  <c r="AG27" i="3" s="1"/>
  <c r="AH20" i="3"/>
  <c r="S19" i="4"/>
  <c r="T19" i="4" s="1"/>
  <c r="T20" i="3" s="1"/>
  <c r="H24" i="13"/>
  <c r="I16" i="13"/>
  <c r="J16" i="13" s="1"/>
  <c r="AI17" i="3" s="1"/>
  <c r="H19" i="14"/>
  <c r="L19" i="14" s="1"/>
  <c r="N19" i="14" s="1"/>
  <c r="S20" i="4"/>
  <c r="T20" i="4" s="1"/>
  <c r="T21" i="3" s="1"/>
  <c r="H13" i="14"/>
  <c r="L13" i="14" s="1"/>
  <c r="N13" i="14" s="1"/>
  <c r="U24" i="4"/>
  <c r="B20" i="62" s="1"/>
  <c r="S22" i="4"/>
  <c r="T22" i="4" s="1"/>
  <c r="T23" i="3" s="1"/>
  <c r="AF21" i="3"/>
  <c r="I8" i="13"/>
  <c r="U20" i="4"/>
  <c r="B19" i="51" s="1"/>
  <c r="AF9" i="3"/>
  <c r="S8" i="4"/>
  <c r="T8" i="4" s="1"/>
  <c r="T9" i="3" s="1"/>
  <c r="H27" i="14"/>
  <c r="L27" i="14" s="1"/>
  <c r="N27" i="14" s="1"/>
  <c r="D21" i="3"/>
  <c r="F21" i="3" s="1"/>
  <c r="G21" i="3" s="1"/>
  <c r="H21" i="3" s="1"/>
  <c r="D25" i="3"/>
  <c r="F25" i="3" s="1"/>
  <c r="G25" i="3" s="1"/>
  <c r="H25" i="3" s="1"/>
  <c r="J28" i="3"/>
  <c r="K28" i="3" s="1"/>
  <c r="L28" i="3" s="1"/>
  <c r="S10" i="3"/>
  <c r="B5" i="33"/>
  <c r="B5" i="62"/>
  <c r="B8" i="51"/>
  <c r="S12" i="3"/>
  <c r="B7" i="33"/>
  <c r="B7" i="62"/>
  <c r="B10" i="51"/>
  <c r="S15" i="3"/>
  <c r="B10" i="33"/>
  <c r="B10" i="62"/>
  <c r="B13" i="51"/>
  <c r="S28" i="3"/>
  <c r="B23" i="33"/>
  <c r="B23" i="62"/>
  <c r="B26" i="51"/>
  <c r="S14" i="3"/>
  <c r="B9" i="33"/>
  <c r="B9" i="62"/>
  <c r="B12" i="51"/>
  <c r="S26" i="3"/>
  <c r="B21" i="33"/>
  <c r="B21" i="62"/>
  <c r="B24" i="51"/>
  <c r="S20" i="3"/>
  <c r="B15" i="33"/>
  <c r="B15" i="62"/>
  <c r="B18" i="51"/>
  <c r="S27" i="3"/>
  <c r="S17" i="3"/>
  <c r="B12" i="62"/>
  <c r="B12" i="33"/>
  <c r="B15" i="51"/>
  <c r="S18" i="3"/>
  <c r="B13" i="33"/>
  <c r="B13" i="62"/>
  <c r="B16" i="51"/>
  <c r="S9" i="3"/>
  <c r="B4" i="62"/>
  <c r="B4" i="33"/>
  <c r="B7" i="51"/>
  <c r="S11" i="3"/>
  <c r="B6" i="33"/>
  <c r="B6" i="62"/>
  <c r="B9" i="51"/>
  <c r="S22" i="3"/>
  <c r="B17" i="33"/>
  <c r="B17" i="62"/>
  <c r="B20" i="51"/>
  <c r="S24" i="3"/>
  <c r="S16" i="3"/>
  <c r="B11" i="33"/>
  <c r="B11" i="62"/>
  <c r="B14" i="51"/>
  <c r="S19" i="3"/>
  <c r="B14" i="33"/>
  <c r="B14" i="62"/>
  <c r="B17" i="51"/>
  <c r="S13" i="3"/>
  <c r="B8" i="33"/>
  <c r="B8" i="62"/>
  <c r="B11" i="51"/>
  <c r="S23" i="3"/>
  <c r="B18" i="33"/>
  <c r="B18" i="62"/>
  <c r="B21" i="51"/>
  <c r="I18" i="13"/>
  <c r="J18" i="13" s="1"/>
  <c r="AI19" i="3" s="1"/>
  <c r="AH13" i="3"/>
  <c r="AH25" i="3"/>
  <c r="S24" i="4"/>
  <c r="T24" i="4" s="1"/>
  <c r="T25" i="3" s="1"/>
  <c r="AH23" i="3"/>
  <c r="R28" i="4"/>
  <c r="U28" i="4" s="1"/>
  <c r="H12" i="13"/>
  <c r="AF13" i="3"/>
  <c r="AF23" i="3"/>
  <c r="H25" i="14"/>
  <c r="L25" i="14" s="1"/>
  <c r="N25" i="14" s="1"/>
  <c r="I9" i="14"/>
  <c r="J9" i="14" s="1"/>
  <c r="AG10" i="3" s="1"/>
  <c r="S12" i="4"/>
  <c r="T12" i="4" s="1"/>
  <c r="T13" i="3" s="1"/>
  <c r="H27" i="13"/>
  <c r="H20" i="13"/>
  <c r="H15" i="13"/>
  <c r="I25" i="13"/>
  <c r="J25" i="13" s="1"/>
  <c r="AI26" i="3" s="1"/>
  <c r="AF16" i="3"/>
  <c r="AH16" i="3"/>
  <c r="S15" i="4"/>
  <c r="T15" i="4" s="1"/>
  <c r="T16" i="3" s="1"/>
  <c r="AG9" i="3"/>
  <c r="J20" i="3"/>
  <c r="K20" i="3" s="1"/>
  <c r="L20" i="3" s="1"/>
  <c r="J21" i="3"/>
  <c r="K21" i="3" s="1"/>
  <c r="N21" i="3" s="1"/>
  <c r="O21" i="3" s="1"/>
  <c r="J24" i="3"/>
  <c r="K24" i="3" s="1"/>
  <c r="L24" i="3" s="1"/>
  <c r="J27" i="3"/>
  <c r="K27" i="3" s="1"/>
  <c r="J22" i="3"/>
  <c r="K22" i="3" s="1"/>
  <c r="L22" i="3" s="1"/>
  <c r="J23" i="3"/>
  <c r="K23" i="3" s="1"/>
  <c r="N23" i="3" s="1"/>
  <c r="O23" i="3" s="1"/>
  <c r="J26" i="3"/>
  <c r="K26" i="3" s="1"/>
  <c r="L26" i="3" s="1"/>
  <c r="D9" i="3"/>
  <c r="D11" i="3"/>
  <c r="F11" i="3" s="1"/>
  <c r="G11" i="3" s="1"/>
  <c r="H11" i="3" s="1"/>
  <c r="D13" i="3"/>
  <c r="F13" i="3" s="1"/>
  <c r="G13" i="3" s="1"/>
  <c r="H13" i="3" s="1"/>
  <c r="D15" i="3"/>
  <c r="F15" i="3" s="1"/>
  <c r="G15" i="3" s="1"/>
  <c r="H15" i="3" s="1"/>
  <c r="D17" i="3"/>
  <c r="F17" i="3" s="1"/>
  <c r="G17" i="3" s="1"/>
  <c r="H17" i="3" s="1"/>
  <c r="D19" i="3"/>
  <c r="F19" i="3" s="1"/>
  <c r="G19" i="3" s="1"/>
  <c r="H19" i="3" s="1"/>
  <c r="D10" i="3"/>
  <c r="F10" i="3" s="1"/>
  <c r="G10" i="3" s="1"/>
  <c r="H10" i="3" s="1"/>
  <c r="D12" i="3"/>
  <c r="F12" i="3" s="1"/>
  <c r="G12" i="3" s="1"/>
  <c r="H12" i="3" s="1"/>
  <c r="D14" i="3"/>
  <c r="F14" i="3" s="1"/>
  <c r="G14" i="3" s="1"/>
  <c r="H14" i="3" s="1"/>
  <c r="D16" i="3"/>
  <c r="F16" i="3" s="1"/>
  <c r="G16" i="3" s="1"/>
  <c r="H16" i="3" s="1"/>
  <c r="D18" i="3"/>
  <c r="F18" i="3" s="1"/>
  <c r="G18" i="3" s="1"/>
  <c r="H18" i="3" s="1"/>
  <c r="D22" i="3"/>
  <c r="F22" i="3" s="1"/>
  <c r="G22" i="3" s="1"/>
  <c r="H22" i="3" s="1"/>
  <c r="D26" i="3"/>
  <c r="F26" i="3" s="1"/>
  <c r="G26" i="3" s="1"/>
  <c r="H26" i="3" s="1"/>
  <c r="J9" i="3"/>
  <c r="J10" i="3"/>
  <c r="K10" i="3" s="1"/>
  <c r="J11" i="3"/>
  <c r="K11" i="3" s="1"/>
  <c r="J12" i="3"/>
  <c r="K12" i="3" s="1"/>
  <c r="J13" i="3"/>
  <c r="K13" i="3" s="1"/>
  <c r="J14" i="3"/>
  <c r="K14" i="3" s="1"/>
  <c r="J15" i="3"/>
  <c r="K15" i="3" s="1"/>
  <c r="J16" i="3"/>
  <c r="K16" i="3" s="1"/>
  <c r="J17" i="3"/>
  <c r="K17" i="3" s="1"/>
  <c r="J18" i="3"/>
  <c r="K18" i="3" s="1"/>
  <c r="J19" i="3"/>
  <c r="K19" i="3" s="1"/>
  <c r="D27" i="3"/>
  <c r="F27" i="3" s="1"/>
  <c r="G27" i="3" s="1"/>
  <c r="H27" i="3" s="1"/>
  <c r="D20" i="3"/>
  <c r="F20" i="3" s="1"/>
  <c r="G20" i="3" s="1"/>
  <c r="H20" i="3" s="1"/>
  <c r="M20" i="3" s="1"/>
  <c r="D24" i="3"/>
  <c r="F24" i="3" s="1"/>
  <c r="G24" i="3" s="1"/>
  <c r="H24" i="3" s="1"/>
  <c r="D28" i="3"/>
  <c r="F28" i="3" s="1"/>
  <c r="G28" i="3" s="1"/>
  <c r="H28" i="3" s="1"/>
  <c r="C29" i="3"/>
  <c r="N25" i="3"/>
  <c r="O25" i="3" s="1"/>
  <c r="N27" i="3"/>
  <c r="O27" i="3" s="1"/>
  <c r="N20" i="3"/>
  <c r="O20" i="3" s="1"/>
  <c r="L21" i="3"/>
  <c r="N22" i="3"/>
  <c r="O22" i="3" s="1"/>
  <c r="L25" i="3"/>
  <c r="L27" i="3"/>
  <c r="K16" i="68" l="1"/>
  <c r="N16" i="68"/>
  <c r="J16" i="68"/>
  <c r="I16" i="68"/>
  <c r="F16" i="68"/>
  <c r="M16" i="68"/>
  <c r="H16" i="68"/>
  <c r="G16" i="68"/>
  <c r="E16" i="68"/>
  <c r="L16" i="68"/>
  <c r="D16" i="68"/>
  <c r="C16" i="68"/>
  <c r="K9" i="68"/>
  <c r="F9" i="68"/>
  <c r="I9" i="68"/>
  <c r="L9" i="68"/>
  <c r="G9" i="68"/>
  <c r="H9" i="68"/>
  <c r="N9" i="68"/>
  <c r="M9" i="68"/>
  <c r="J9" i="68"/>
  <c r="E9" i="68"/>
  <c r="D9" i="68"/>
  <c r="C9" i="68"/>
  <c r="N5" i="68"/>
  <c r="L5" i="68"/>
  <c r="G5" i="68"/>
  <c r="J5" i="68"/>
  <c r="H5" i="68"/>
  <c r="E5" i="68"/>
  <c r="F5" i="68"/>
  <c r="I5" i="68"/>
  <c r="M5" i="68"/>
  <c r="K5" i="68"/>
  <c r="D5" i="68"/>
  <c r="C5" i="68"/>
  <c r="L21" i="68"/>
  <c r="G21" i="68"/>
  <c r="J21" i="68"/>
  <c r="H21" i="68"/>
  <c r="K21" i="68"/>
  <c r="N21" i="68"/>
  <c r="I21" i="68"/>
  <c r="E21" i="68"/>
  <c r="F21" i="68"/>
  <c r="M21" i="68"/>
  <c r="C21" i="68"/>
  <c r="D21" i="68"/>
  <c r="K15" i="68"/>
  <c r="L15" i="68"/>
  <c r="N15" i="68"/>
  <c r="F15" i="68"/>
  <c r="I15" i="68"/>
  <c r="J15" i="68"/>
  <c r="E15" i="68"/>
  <c r="G15" i="68"/>
  <c r="M15" i="68"/>
  <c r="H15" i="68"/>
  <c r="C15" i="68"/>
  <c r="D15" i="68"/>
  <c r="K20" i="68"/>
  <c r="F20" i="68"/>
  <c r="E20" i="68"/>
  <c r="N20" i="68"/>
  <c r="L20" i="68"/>
  <c r="J20" i="68"/>
  <c r="I20" i="68"/>
  <c r="M20" i="68"/>
  <c r="G20" i="68"/>
  <c r="H20" i="68"/>
  <c r="D20" i="68"/>
  <c r="C20" i="68"/>
  <c r="N14" i="68"/>
  <c r="L14" i="68"/>
  <c r="M14" i="68"/>
  <c r="H14" i="68"/>
  <c r="K14" i="68"/>
  <c r="G14" i="68"/>
  <c r="F14" i="68"/>
  <c r="J14" i="68"/>
  <c r="I14" i="68"/>
  <c r="E14" i="68"/>
  <c r="C14" i="68"/>
  <c r="D14" i="68"/>
  <c r="N12" i="68"/>
  <c r="E12" i="68"/>
  <c r="K12" i="68"/>
  <c r="I12" i="68"/>
  <c r="M12" i="68"/>
  <c r="F12" i="68"/>
  <c r="G12" i="68"/>
  <c r="H12" i="68"/>
  <c r="L12" i="68"/>
  <c r="J12" i="68"/>
  <c r="D12" i="68"/>
  <c r="C12" i="68"/>
  <c r="J18" i="68"/>
  <c r="E18" i="68"/>
  <c r="L18" i="68"/>
  <c r="K18" i="68"/>
  <c r="N18" i="68"/>
  <c r="F18" i="68"/>
  <c r="M18" i="68"/>
  <c r="H18" i="68"/>
  <c r="I18" i="68"/>
  <c r="G18" i="68"/>
  <c r="D18" i="68"/>
  <c r="C18" i="68"/>
  <c r="I6" i="68"/>
  <c r="G6" i="68"/>
  <c r="F6" i="68"/>
  <c r="E6" i="68"/>
  <c r="H6" i="68"/>
  <c r="K6" i="68"/>
  <c r="N6" i="68"/>
  <c r="L6" i="68"/>
  <c r="J6" i="68"/>
  <c r="M6" i="68"/>
  <c r="C6" i="68"/>
  <c r="D6" i="68"/>
  <c r="N13" i="68"/>
  <c r="M13" i="68"/>
  <c r="E13" i="68"/>
  <c r="F13" i="68"/>
  <c r="L13" i="68"/>
  <c r="H13" i="68"/>
  <c r="K13" i="68"/>
  <c r="I13" i="68"/>
  <c r="G13" i="68"/>
  <c r="J13" i="68"/>
  <c r="D13" i="68"/>
  <c r="C13" i="68"/>
  <c r="J17" i="68"/>
  <c r="M17" i="68"/>
  <c r="N17" i="68"/>
  <c r="F17" i="68"/>
  <c r="E17" i="68"/>
  <c r="K17" i="68"/>
  <c r="I17" i="68"/>
  <c r="H17" i="68"/>
  <c r="L17" i="68"/>
  <c r="G17" i="68"/>
  <c r="D17" i="68"/>
  <c r="C17" i="68"/>
  <c r="I8" i="68"/>
  <c r="M8" i="68"/>
  <c r="J8" i="68"/>
  <c r="N8" i="68"/>
  <c r="F8" i="68"/>
  <c r="L8" i="68"/>
  <c r="E8" i="68"/>
  <c r="G8" i="68"/>
  <c r="H8" i="68"/>
  <c r="K8" i="68"/>
  <c r="C8" i="68"/>
  <c r="D8" i="68"/>
  <c r="AL9" i="3"/>
  <c r="AL29" i="3" s="1"/>
  <c r="B4" i="68"/>
  <c r="T29" i="65"/>
  <c r="M23" i="68"/>
  <c r="H23" i="68"/>
  <c r="K23" i="68"/>
  <c r="N23" i="68"/>
  <c r="L23" i="68"/>
  <c r="G23" i="68"/>
  <c r="J23" i="68"/>
  <c r="F23" i="68"/>
  <c r="I23" i="68"/>
  <c r="E23" i="68"/>
  <c r="C23" i="68"/>
  <c r="D23" i="68"/>
  <c r="K7" i="68"/>
  <c r="F7" i="68"/>
  <c r="L7" i="68"/>
  <c r="G7" i="68"/>
  <c r="M7" i="68"/>
  <c r="I7" i="68"/>
  <c r="J7" i="68"/>
  <c r="N7" i="68"/>
  <c r="E7" i="68"/>
  <c r="H7" i="68"/>
  <c r="C7" i="68"/>
  <c r="D7" i="68"/>
  <c r="I10" i="68"/>
  <c r="H10" i="68"/>
  <c r="N10" i="68"/>
  <c r="K10" i="68"/>
  <c r="G10" i="68"/>
  <c r="J10" i="68"/>
  <c r="E10" i="68"/>
  <c r="F10" i="68"/>
  <c r="L10" i="68"/>
  <c r="M10" i="68"/>
  <c r="D10" i="68"/>
  <c r="C10" i="68"/>
  <c r="K11" i="68"/>
  <c r="F11" i="68"/>
  <c r="I11" i="68"/>
  <c r="M11" i="68"/>
  <c r="E11" i="68"/>
  <c r="H11" i="68"/>
  <c r="G11" i="68"/>
  <c r="N11" i="68"/>
  <c r="J11" i="68"/>
  <c r="L11" i="68"/>
  <c r="D11" i="68"/>
  <c r="C11" i="68"/>
  <c r="F22" i="68"/>
  <c r="G22" i="68"/>
  <c r="N22" i="68"/>
  <c r="M22" i="68"/>
  <c r="K22" i="68"/>
  <c r="I22" i="68"/>
  <c r="E22" i="68"/>
  <c r="H22" i="68"/>
  <c r="L22" i="68"/>
  <c r="J22" i="68"/>
  <c r="C22" i="68"/>
  <c r="D22" i="68"/>
  <c r="I19" i="68"/>
  <c r="L19" i="68"/>
  <c r="G19" i="68"/>
  <c r="J19" i="68"/>
  <c r="E19" i="68"/>
  <c r="F19" i="68"/>
  <c r="M19" i="68"/>
  <c r="K19" i="68"/>
  <c r="N19" i="68"/>
  <c r="H19" i="68"/>
  <c r="C19" i="68"/>
  <c r="D19" i="68"/>
  <c r="C24" i="34"/>
  <c r="O24" i="34" s="1"/>
  <c r="O4" i="34"/>
  <c r="M25" i="3"/>
  <c r="M28" i="3"/>
  <c r="B19" i="33"/>
  <c r="B22" i="62"/>
  <c r="H22" i="62" s="1"/>
  <c r="B22" i="33"/>
  <c r="K22" i="33" s="1"/>
  <c r="B19" i="62"/>
  <c r="E19" i="62" s="1"/>
  <c r="B23" i="51"/>
  <c r="E23" i="51" s="1"/>
  <c r="B20" i="33"/>
  <c r="D20" i="33" s="1"/>
  <c r="B16" i="33"/>
  <c r="F16" i="33" s="1"/>
  <c r="S25" i="3"/>
  <c r="B16" i="62"/>
  <c r="H16" i="62" s="1"/>
  <c r="S21" i="3"/>
  <c r="N26" i="3"/>
  <c r="O26" i="3" s="1"/>
  <c r="M21" i="3"/>
  <c r="L23" i="3"/>
  <c r="M23" i="3" s="1"/>
  <c r="C21" i="51"/>
  <c r="K21" i="51"/>
  <c r="L21" i="51"/>
  <c r="H21" i="51"/>
  <c r="G21" i="51"/>
  <c r="D21" i="51"/>
  <c r="F21" i="51"/>
  <c r="M21" i="51"/>
  <c r="N21" i="51"/>
  <c r="I21" i="51"/>
  <c r="E21" i="51"/>
  <c r="J21" i="51"/>
  <c r="I11" i="51"/>
  <c r="E11" i="51"/>
  <c r="L11" i="51"/>
  <c r="D11" i="51"/>
  <c r="C11" i="51"/>
  <c r="G11" i="51"/>
  <c r="K11" i="51"/>
  <c r="F11" i="51"/>
  <c r="H11" i="51"/>
  <c r="M11" i="51"/>
  <c r="N11" i="51"/>
  <c r="J11" i="51"/>
  <c r="F17" i="51"/>
  <c r="L17" i="51"/>
  <c r="H17" i="51"/>
  <c r="C17" i="51"/>
  <c r="G17" i="51"/>
  <c r="M17" i="51"/>
  <c r="N17" i="51"/>
  <c r="I17" i="51"/>
  <c r="D17" i="51"/>
  <c r="E17" i="51"/>
  <c r="K17" i="51"/>
  <c r="J17" i="51"/>
  <c r="N14" i="51"/>
  <c r="F14" i="51"/>
  <c r="C14" i="51"/>
  <c r="G14" i="51"/>
  <c r="K14" i="51"/>
  <c r="H14" i="51"/>
  <c r="M14" i="51"/>
  <c r="I14" i="51"/>
  <c r="D14" i="51"/>
  <c r="E14" i="51"/>
  <c r="L14" i="51"/>
  <c r="J14" i="51"/>
  <c r="N22" i="51"/>
  <c r="F22" i="51"/>
  <c r="H22" i="51"/>
  <c r="I22" i="51"/>
  <c r="D22" i="51"/>
  <c r="G22" i="51"/>
  <c r="K22" i="51"/>
  <c r="L22" i="51"/>
  <c r="M22" i="51"/>
  <c r="E22" i="51"/>
  <c r="C22" i="51"/>
  <c r="J22" i="51"/>
  <c r="E19" i="51"/>
  <c r="I19" i="51"/>
  <c r="N19" i="51"/>
  <c r="D19" i="51"/>
  <c r="M19" i="51"/>
  <c r="F19" i="51"/>
  <c r="C19" i="51"/>
  <c r="H19" i="51"/>
  <c r="G19" i="51"/>
  <c r="K19" i="51"/>
  <c r="L19" i="51"/>
  <c r="J19" i="51"/>
  <c r="H20" i="51"/>
  <c r="L20" i="51"/>
  <c r="D20" i="51"/>
  <c r="C20" i="51"/>
  <c r="G20" i="51"/>
  <c r="K20" i="51"/>
  <c r="F20" i="51"/>
  <c r="M20" i="51"/>
  <c r="N20" i="51"/>
  <c r="I20" i="51"/>
  <c r="E20" i="51"/>
  <c r="J20" i="51"/>
  <c r="H9" i="51"/>
  <c r="I9" i="51"/>
  <c r="D9" i="51"/>
  <c r="E9" i="51"/>
  <c r="K9" i="51"/>
  <c r="M9" i="51"/>
  <c r="F9" i="51"/>
  <c r="C9" i="51"/>
  <c r="L9" i="51"/>
  <c r="G9" i="51"/>
  <c r="N9" i="51"/>
  <c r="J9" i="51"/>
  <c r="B27" i="51"/>
  <c r="E7" i="51"/>
  <c r="I7" i="51"/>
  <c r="C7" i="51"/>
  <c r="G7" i="51"/>
  <c r="K7" i="51"/>
  <c r="M7" i="51"/>
  <c r="F7" i="51"/>
  <c r="L7" i="51"/>
  <c r="N7" i="51"/>
  <c r="D7" i="51"/>
  <c r="H7" i="51"/>
  <c r="J7" i="51"/>
  <c r="H16" i="51"/>
  <c r="L16" i="51"/>
  <c r="D16" i="51"/>
  <c r="M16" i="51"/>
  <c r="N16" i="51"/>
  <c r="I16" i="51"/>
  <c r="E16" i="51"/>
  <c r="G16" i="51"/>
  <c r="K16" i="51"/>
  <c r="C16" i="51"/>
  <c r="F16" i="51"/>
  <c r="J16" i="51"/>
  <c r="E15" i="51"/>
  <c r="I15" i="51"/>
  <c r="H15" i="51"/>
  <c r="C15" i="51"/>
  <c r="F15" i="51"/>
  <c r="K15" i="51"/>
  <c r="M15" i="51"/>
  <c r="L15" i="51"/>
  <c r="N15" i="51"/>
  <c r="D15" i="51"/>
  <c r="G15" i="51"/>
  <c r="J15" i="51"/>
  <c r="G25" i="51"/>
  <c r="H25" i="51"/>
  <c r="K25" i="51"/>
  <c r="M25" i="51"/>
  <c r="C25" i="51"/>
  <c r="F25" i="51"/>
  <c r="N25" i="51"/>
  <c r="E25" i="51"/>
  <c r="L25" i="51"/>
  <c r="I25" i="51"/>
  <c r="D25" i="51"/>
  <c r="J25" i="51"/>
  <c r="F18" i="51"/>
  <c r="N18" i="51"/>
  <c r="L18" i="51"/>
  <c r="H18" i="51"/>
  <c r="I18" i="51"/>
  <c r="M18" i="51"/>
  <c r="E18" i="51"/>
  <c r="C18" i="51"/>
  <c r="G18" i="51"/>
  <c r="K18" i="51"/>
  <c r="D18" i="51"/>
  <c r="J18" i="51"/>
  <c r="L24" i="51"/>
  <c r="H24" i="51"/>
  <c r="D24" i="51"/>
  <c r="M24" i="51"/>
  <c r="E24" i="51"/>
  <c r="N24" i="51"/>
  <c r="I24" i="51"/>
  <c r="C24" i="51"/>
  <c r="G24" i="51"/>
  <c r="K24" i="51"/>
  <c r="F24" i="51"/>
  <c r="J24" i="51"/>
  <c r="D12" i="51"/>
  <c r="L12" i="51"/>
  <c r="H12" i="51"/>
  <c r="N12" i="51"/>
  <c r="G12" i="51"/>
  <c r="K12" i="51"/>
  <c r="I12" i="51"/>
  <c r="C12" i="51"/>
  <c r="M12" i="51"/>
  <c r="E12" i="51"/>
  <c r="F12" i="51"/>
  <c r="J12" i="51"/>
  <c r="N26" i="51"/>
  <c r="F26" i="51"/>
  <c r="M26" i="51"/>
  <c r="I26" i="51"/>
  <c r="D26" i="51"/>
  <c r="E26" i="51"/>
  <c r="G26" i="51"/>
  <c r="K26" i="51"/>
  <c r="L26" i="51"/>
  <c r="H26" i="51"/>
  <c r="C26" i="51"/>
  <c r="J26" i="51"/>
  <c r="M13" i="51"/>
  <c r="N13" i="51"/>
  <c r="I13" i="51"/>
  <c r="D13" i="51"/>
  <c r="E13" i="51"/>
  <c r="F13" i="51"/>
  <c r="L13" i="51"/>
  <c r="K13" i="51"/>
  <c r="H13" i="51"/>
  <c r="C13" i="51"/>
  <c r="G13" i="51"/>
  <c r="J13" i="51"/>
  <c r="F10" i="51"/>
  <c r="N10" i="51"/>
  <c r="M10" i="51"/>
  <c r="I10" i="51"/>
  <c r="D10" i="51"/>
  <c r="E10" i="51"/>
  <c r="C10" i="51"/>
  <c r="G10" i="51"/>
  <c r="H10" i="51"/>
  <c r="K10" i="51"/>
  <c r="L10" i="51"/>
  <c r="J10" i="51"/>
  <c r="L8" i="51"/>
  <c r="H8" i="51"/>
  <c r="D8" i="51"/>
  <c r="N8" i="51"/>
  <c r="M8" i="51"/>
  <c r="I8" i="51"/>
  <c r="E8" i="51"/>
  <c r="C8" i="51"/>
  <c r="G8" i="51"/>
  <c r="K8" i="51"/>
  <c r="F8" i="51"/>
  <c r="J8" i="51"/>
  <c r="M18" i="62"/>
  <c r="D18" i="62"/>
  <c r="K18" i="62"/>
  <c r="G18" i="62"/>
  <c r="E18" i="62"/>
  <c r="L18" i="62"/>
  <c r="H18" i="62"/>
  <c r="J18" i="62"/>
  <c r="F18" i="62"/>
  <c r="N18" i="62"/>
  <c r="I18" i="62"/>
  <c r="C18" i="62"/>
  <c r="J8" i="62"/>
  <c r="L8" i="62"/>
  <c r="M8" i="62"/>
  <c r="D8" i="62"/>
  <c r="K8" i="62"/>
  <c r="G8" i="62"/>
  <c r="H8" i="62"/>
  <c r="E8" i="62"/>
  <c r="I8" i="62"/>
  <c r="F8" i="62"/>
  <c r="N8" i="62"/>
  <c r="C8" i="62"/>
  <c r="J14" i="62"/>
  <c r="D14" i="62"/>
  <c r="H14" i="62"/>
  <c r="M14" i="62"/>
  <c r="L14" i="62"/>
  <c r="K14" i="62"/>
  <c r="G14" i="62"/>
  <c r="E14" i="62"/>
  <c r="F14" i="62"/>
  <c r="I14" i="62"/>
  <c r="N14" i="62"/>
  <c r="C14" i="62"/>
  <c r="K11" i="62"/>
  <c r="M11" i="62"/>
  <c r="L11" i="62"/>
  <c r="D11" i="62"/>
  <c r="H11" i="62"/>
  <c r="G11" i="62"/>
  <c r="J11" i="62"/>
  <c r="I11" i="62"/>
  <c r="N11" i="62"/>
  <c r="E11" i="62"/>
  <c r="F11" i="62"/>
  <c r="C11" i="62"/>
  <c r="L19" i="62"/>
  <c r="J19" i="62"/>
  <c r="I19" i="62"/>
  <c r="N16" i="62"/>
  <c r="H17" i="62"/>
  <c r="G17" i="62"/>
  <c r="J17" i="62"/>
  <c r="K17" i="62"/>
  <c r="L17" i="62"/>
  <c r="D17" i="62"/>
  <c r="M17" i="62"/>
  <c r="E17" i="62"/>
  <c r="I17" i="62"/>
  <c r="F17" i="62"/>
  <c r="N17" i="62"/>
  <c r="C17" i="62"/>
  <c r="L20" i="62"/>
  <c r="K20" i="62"/>
  <c r="H20" i="62"/>
  <c r="G20" i="62"/>
  <c r="J20" i="62"/>
  <c r="E20" i="62"/>
  <c r="D20" i="62"/>
  <c r="M20" i="62"/>
  <c r="F20" i="62"/>
  <c r="N20" i="62"/>
  <c r="I20" i="62"/>
  <c r="C20" i="62"/>
  <c r="L6" i="62"/>
  <c r="D6" i="62"/>
  <c r="J6" i="62"/>
  <c r="M6" i="62"/>
  <c r="K6" i="62"/>
  <c r="H6" i="62"/>
  <c r="G6" i="62"/>
  <c r="E6" i="62"/>
  <c r="N6" i="62"/>
  <c r="I6" i="62"/>
  <c r="F6" i="62"/>
  <c r="C6" i="62"/>
  <c r="I4" i="33"/>
  <c r="G4" i="33"/>
  <c r="J4" i="33"/>
  <c r="N4" i="33"/>
  <c r="C4" i="33"/>
  <c r="M4" i="33"/>
  <c r="E4" i="33"/>
  <c r="H4" i="33"/>
  <c r="D4" i="33"/>
  <c r="L4" i="33"/>
  <c r="K4" i="33"/>
  <c r="F4" i="33"/>
  <c r="D13" i="62"/>
  <c r="H13" i="62"/>
  <c r="G13" i="62"/>
  <c r="J13" i="62"/>
  <c r="M13" i="62"/>
  <c r="L13" i="62"/>
  <c r="K13" i="62"/>
  <c r="E13" i="62"/>
  <c r="F13" i="62"/>
  <c r="N13" i="62"/>
  <c r="I13" i="62"/>
  <c r="C13" i="62"/>
  <c r="K12" i="33"/>
  <c r="H12" i="33"/>
  <c r="I12" i="33"/>
  <c r="E12" i="33"/>
  <c r="L12" i="33"/>
  <c r="D12" i="33"/>
  <c r="F12" i="33"/>
  <c r="J12" i="33"/>
  <c r="N12" i="33"/>
  <c r="M12" i="33"/>
  <c r="G12" i="33"/>
  <c r="C12" i="33"/>
  <c r="D22" i="62"/>
  <c r="F22" i="62"/>
  <c r="M15" i="62"/>
  <c r="D15" i="62"/>
  <c r="L15" i="62"/>
  <c r="K15" i="62"/>
  <c r="H15" i="62"/>
  <c r="G15" i="62"/>
  <c r="J15" i="62"/>
  <c r="N15" i="62"/>
  <c r="E15" i="62"/>
  <c r="F15" i="62"/>
  <c r="I15" i="62"/>
  <c r="C15" i="62"/>
  <c r="D21" i="62"/>
  <c r="H21" i="62"/>
  <c r="M21" i="62"/>
  <c r="L21" i="62"/>
  <c r="E21" i="62"/>
  <c r="K21" i="62"/>
  <c r="G21" i="62"/>
  <c r="J21" i="62"/>
  <c r="F21" i="62"/>
  <c r="I21" i="62"/>
  <c r="N21" i="62"/>
  <c r="C21" i="62"/>
  <c r="D9" i="62"/>
  <c r="E9" i="62"/>
  <c r="K9" i="62"/>
  <c r="H9" i="62"/>
  <c r="G9" i="62"/>
  <c r="J9" i="62"/>
  <c r="L9" i="62"/>
  <c r="M9" i="62"/>
  <c r="F9" i="62"/>
  <c r="N9" i="62"/>
  <c r="I9" i="62"/>
  <c r="C9" i="62"/>
  <c r="L23" i="62"/>
  <c r="H23" i="62"/>
  <c r="G23" i="62"/>
  <c r="J23" i="62"/>
  <c r="E23" i="62"/>
  <c r="K23" i="62"/>
  <c r="M23" i="62"/>
  <c r="D23" i="62"/>
  <c r="N23" i="62"/>
  <c r="F23" i="62"/>
  <c r="I23" i="62"/>
  <c r="C23" i="62"/>
  <c r="L10" i="62"/>
  <c r="D10" i="62"/>
  <c r="M10" i="62"/>
  <c r="K10" i="62"/>
  <c r="G10" i="62"/>
  <c r="J10" i="62"/>
  <c r="E10" i="62"/>
  <c r="H10" i="62"/>
  <c r="N10" i="62"/>
  <c r="F10" i="62"/>
  <c r="I10" i="62"/>
  <c r="C10" i="62"/>
  <c r="L7" i="62"/>
  <c r="H7" i="62"/>
  <c r="G7" i="62"/>
  <c r="M7" i="62"/>
  <c r="D7" i="62"/>
  <c r="K7" i="62"/>
  <c r="E7" i="62"/>
  <c r="J7" i="62"/>
  <c r="I7" i="62"/>
  <c r="F7" i="62"/>
  <c r="N7" i="62"/>
  <c r="C7" i="62"/>
  <c r="K5" i="62"/>
  <c r="J5" i="62"/>
  <c r="M5" i="62"/>
  <c r="D5" i="62"/>
  <c r="G5" i="62"/>
  <c r="L5" i="62"/>
  <c r="H5" i="62"/>
  <c r="E5" i="62"/>
  <c r="N5" i="62"/>
  <c r="I5" i="62"/>
  <c r="F5" i="62"/>
  <c r="C5" i="62"/>
  <c r="K18" i="33"/>
  <c r="E18" i="33"/>
  <c r="M18" i="33"/>
  <c r="H18" i="33"/>
  <c r="F18" i="33"/>
  <c r="G18" i="33"/>
  <c r="N18" i="33"/>
  <c r="L18" i="33"/>
  <c r="I18" i="33"/>
  <c r="D18" i="33"/>
  <c r="C18" i="33"/>
  <c r="J18" i="33"/>
  <c r="K8" i="33"/>
  <c r="L8" i="33"/>
  <c r="H8" i="33"/>
  <c r="N8" i="33"/>
  <c r="C8" i="33"/>
  <c r="M8" i="33"/>
  <c r="D8" i="33"/>
  <c r="E8" i="33"/>
  <c r="I8" i="33"/>
  <c r="J8" i="33"/>
  <c r="G8" i="33"/>
  <c r="F8" i="33"/>
  <c r="K14" i="33"/>
  <c r="M14" i="33"/>
  <c r="H14" i="33"/>
  <c r="D14" i="33"/>
  <c r="F14" i="33"/>
  <c r="N14" i="33"/>
  <c r="E14" i="33"/>
  <c r="L14" i="33"/>
  <c r="I14" i="33"/>
  <c r="J14" i="33"/>
  <c r="G14" i="33"/>
  <c r="C14" i="33"/>
  <c r="K11" i="33"/>
  <c r="J11" i="33"/>
  <c r="N11" i="33"/>
  <c r="L11" i="33"/>
  <c r="F11" i="33"/>
  <c r="G11" i="33"/>
  <c r="C11" i="33"/>
  <c r="H11" i="33"/>
  <c r="I11" i="33"/>
  <c r="E11" i="33"/>
  <c r="M11" i="33"/>
  <c r="D11" i="33"/>
  <c r="K19" i="33"/>
  <c r="D19" i="33"/>
  <c r="J19" i="33"/>
  <c r="H19" i="33"/>
  <c r="E19" i="33"/>
  <c r="L19" i="33"/>
  <c r="M19" i="33"/>
  <c r="I19" i="33"/>
  <c r="F19" i="33"/>
  <c r="G19" i="33"/>
  <c r="N19" i="33"/>
  <c r="C19" i="33"/>
  <c r="K17" i="33"/>
  <c r="F17" i="33"/>
  <c r="E17" i="33"/>
  <c r="L17" i="33"/>
  <c r="H17" i="33"/>
  <c r="M17" i="33"/>
  <c r="I17" i="33"/>
  <c r="D17" i="33"/>
  <c r="J17" i="33"/>
  <c r="C17" i="33"/>
  <c r="G17" i="33"/>
  <c r="N17" i="33"/>
  <c r="G20" i="33"/>
  <c r="K6" i="33"/>
  <c r="D6" i="33"/>
  <c r="M6" i="33"/>
  <c r="G6" i="33"/>
  <c r="L6" i="33"/>
  <c r="H6" i="33"/>
  <c r="J6" i="33"/>
  <c r="E6" i="33"/>
  <c r="I6" i="33"/>
  <c r="F6" i="33"/>
  <c r="N6" i="33"/>
  <c r="C6" i="33"/>
  <c r="F4" i="62"/>
  <c r="G4" i="62"/>
  <c r="H4" i="62"/>
  <c r="D4" i="62"/>
  <c r="I4" i="62"/>
  <c r="E4" i="62"/>
  <c r="M4" i="62"/>
  <c r="L4" i="62"/>
  <c r="J4" i="62"/>
  <c r="N4" i="62"/>
  <c r="C4" i="62"/>
  <c r="K4" i="62"/>
  <c r="K13" i="33"/>
  <c r="E13" i="33"/>
  <c r="L13" i="33"/>
  <c r="I13" i="33"/>
  <c r="D13" i="33"/>
  <c r="F13" i="33"/>
  <c r="J13" i="33"/>
  <c r="C13" i="33"/>
  <c r="M13" i="33"/>
  <c r="H13" i="33"/>
  <c r="G13" i="33"/>
  <c r="N13" i="33"/>
  <c r="K12" i="62"/>
  <c r="G12" i="62"/>
  <c r="E12" i="62"/>
  <c r="L12" i="62"/>
  <c r="J12" i="62"/>
  <c r="H12" i="62"/>
  <c r="D12" i="62"/>
  <c r="M12" i="62"/>
  <c r="I12" i="62"/>
  <c r="F12" i="62"/>
  <c r="N12" i="62"/>
  <c r="C12" i="62"/>
  <c r="L22" i="33"/>
  <c r="H22" i="33"/>
  <c r="F22" i="33"/>
  <c r="K15" i="33"/>
  <c r="F15" i="33"/>
  <c r="J15" i="33"/>
  <c r="G15" i="33"/>
  <c r="C15" i="33"/>
  <c r="L15" i="33"/>
  <c r="D15" i="33"/>
  <c r="E15" i="33"/>
  <c r="M15" i="33"/>
  <c r="H15" i="33"/>
  <c r="I15" i="33"/>
  <c r="N15" i="33"/>
  <c r="K21" i="33"/>
  <c r="E21" i="33"/>
  <c r="H21" i="33"/>
  <c r="D21" i="33"/>
  <c r="F21" i="33"/>
  <c r="L21" i="33"/>
  <c r="I21" i="33"/>
  <c r="J21" i="33"/>
  <c r="M21" i="33"/>
  <c r="N21" i="33"/>
  <c r="C21" i="33"/>
  <c r="G21" i="33"/>
  <c r="K9" i="33"/>
  <c r="M9" i="33"/>
  <c r="I9" i="33"/>
  <c r="G9" i="33"/>
  <c r="J9" i="33"/>
  <c r="E9" i="33"/>
  <c r="F9" i="33"/>
  <c r="L9" i="33"/>
  <c r="H9" i="33"/>
  <c r="D9" i="33"/>
  <c r="N9" i="33"/>
  <c r="C9" i="33"/>
  <c r="K23" i="33"/>
  <c r="L23" i="33"/>
  <c r="M23" i="33"/>
  <c r="G23" i="33"/>
  <c r="I23" i="33"/>
  <c r="E23" i="33"/>
  <c r="H23" i="33"/>
  <c r="D23" i="33"/>
  <c r="F23" i="33"/>
  <c r="C23" i="33"/>
  <c r="N23" i="33"/>
  <c r="J23" i="33"/>
  <c r="K10" i="33"/>
  <c r="M10" i="33"/>
  <c r="H10" i="33"/>
  <c r="I10" i="33"/>
  <c r="G10" i="33"/>
  <c r="E10" i="33"/>
  <c r="C10" i="33"/>
  <c r="D10" i="33"/>
  <c r="F10" i="33"/>
  <c r="L10" i="33"/>
  <c r="J10" i="33"/>
  <c r="N10" i="33"/>
  <c r="K7" i="33"/>
  <c r="N7" i="33"/>
  <c r="J7" i="33"/>
  <c r="I7" i="33"/>
  <c r="D7" i="33"/>
  <c r="E7" i="33"/>
  <c r="L7" i="33"/>
  <c r="H7" i="33"/>
  <c r="F7" i="33"/>
  <c r="C7" i="33"/>
  <c r="M7" i="33"/>
  <c r="G7" i="33"/>
  <c r="K5" i="33"/>
  <c r="E5" i="33"/>
  <c r="L5" i="33"/>
  <c r="I5" i="33"/>
  <c r="F5" i="33"/>
  <c r="G5" i="33"/>
  <c r="M5" i="33"/>
  <c r="H5" i="33"/>
  <c r="D5" i="33"/>
  <c r="J5" i="33"/>
  <c r="C5" i="33"/>
  <c r="N5" i="33"/>
  <c r="AH29" i="3"/>
  <c r="T28" i="4"/>
  <c r="J28" i="14"/>
  <c r="AF29" i="3"/>
  <c r="AG29" i="3"/>
  <c r="M22" i="3"/>
  <c r="N28" i="3"/>
  <c r="O28" i="3" s="1"/>
  <c r="M26" i="3"/>
  <c r="M24" i="3"/>
  <c r="N24" i="3"/>
  <c r="O24" i="3" s="1"/>
  <c r="M27" i="3"/>
  <c r="L19" i="3"/>
  <c r="M19" i="3" s="1"/>
  <c r="N19" i="3"/>
  <c r="O19" i="3" s="1"/>
  <c r="L15" i="3"/>
  <c r="M15" i="3" s="1"/>
  <c r="N15" i="3"/>
  <c r="O15" i="3" s="1"/>
  <c r="L11" i="3"/>
  <c r="M11" i="3" s="1"/>
  <c r="N11" i="3"/>
  <c r="O11" i="3" s="1"/>
  <c r="L18" i="3"/>
  <c r="M18" i="3" s="1"/>
  <c r="N18" i="3"/>
  <c r="O18" i="3" s="1"/>
  <c r="L14" i="3"/>
  <c r="M14" i="3" s="1"/>
  <c r="N14" i="3"/>
  <c r="O14" i="3" s="1"/>
  <c r="L10" i="3"/>
  <c r="M10" i="3" s="1"/>
  <c r="N10" i="3"/>
  <c r="O10" i="3" s="1"/>
  <c r="K9" i="3"/>
  <c r="J29" i="3"/>
  <c r="N17" i="3"/>
  <c r="O17" i="3" s="1"/>
  <c r="L17" i="3"/>
  <c r="M17" i="3" s="1"/>
  <c r="N13" i="3"/>
  <c r="O13" i="3" s="1"/>
  <c r="L13" i="3"/>
  <c r="M13" i="3" s="1"/>
  <c r="N16" i="3"/>
  <c r="O16" i="3" s="1"/>
  <c r="L16" i="3"/>
  <c r="M16" i="3" s="1"/>
  <c r="N12" i="3"/>
  <c r="O12" i="3" s="1"/>
  <c r="L12" i="3"/>
  <c r="M12" i="3" s="1"/>
  <c r="F9" i="3"/>
  <c r="G9" i="3" s="1"/>
  <c r="D29" i="3"/>
  <c r="F29" i="3" s="1"/>
  <c r="O19" i="68" l="1"/>
  <c r="O22" i="68"/>
  <c r="O7" i="68"/>
  <c r="O23" i="68"/>
  <c r="O17" i="68"/>
  <c r="O13" i="68"/>
  <c r="O18" i="68"/>
  <c r="O12" i="68"/>
  <c r="O20" i="68"/>
  <c r="O5" i="68"/>
  <c r="O9" i="68"/>
  <c r="O16" i="68"/>
  <c r="O11" i="68"/>
  <c r="O10" i="68"/>
  <c r="O8" i="68"/>
  <c r="O6" i="68"/>
  <c r="O14" i="68"/>
  <c r="O15" i="68"/>
  <c r="O21" i="68"/>
  <c r="B24" i="68"/>
  <c r="F4" i="68"/>
  <c r="E4" i="68"/>
  <c r="L4" i="68"/>
  <c r="I4" i="68"/>
  <c r="G4" i="68"/>
  <c r="J4" i="68"/>
  <c r="H4" i="68"/>
  <c r="K4" i="68"/>
  <c r="N4" i="68"/>
  <c r="M4" i="68"/>
  <c r="D4" i="68"/>
  <c r="C4" i="68"/>
  <c r="J22" i="62"/>
  <c r="F19" i="62"/>
  <c r="K19" i="62"/>
  <c r="G19" i="62"/>
  <c r="J20" i="33"/>
  <c r="I22" i="62"/>
  <c r="K22" i="62"/>
  <c r="L22" i="62"/>
  <c r="H20" i="33"/>
  <c r="N22" i="62"/>
  <c r="E22" i="62"/>
  <c r="M22" i="62"/>
  <c r="C22" i="62"/>
  <c r="G22" i="62"/>
  <c r="D23" i="51"/>
  <c r="H23" i="51"/>
  <c r="K23" i="51"/>
  <c r="K20" i="50" s="1"/>
  <c r="C19" i="62"/>
  <c r="M19" i="62"/>
  <c r="H19" i="62"/>
  <c r="N19" i="62"/>
  <c r="D19" i="62"/>
  <c r="N22" i="33"/>
  <c r="M16" i="33"/>
  <c r="G22" i="33"/>
  <c r="J22" i="33"/>
  <c r="C22" i="33"/>
  <c r="I22" i="33"/>
  <c r="M22" i="33"/>
  <c r="C16" i="33"/>
  <c r="L23" i="51"/>
  <c r="L20" i="50" s="1"/>
  <c r="F23" i="51"/>
  <c r="F20" i="50" s="1"/>
  <c r="D22" i="33"/>
  <c r="E22" i="33"/>
  <c r="J16" i="33"/>
  <c r="B24" i="33"/>
  <c r="N23" i="51"/>
  <c r="N27" i="51" s="1"/>
  <c r="I23" i="51"/>
  <c r="I27" i="51" s="1"/>
  <c r="I20" i="33"/>
  <c r="E20" i="33"/>
  <c r="K20" i="33"/>
  <c r="N20" i="33"/>
  <c r="L20" i="33"/>
  <c r="C20" i="33"/>
  <c r="F20" i="33"/>
  <c r="M20" i="33"/>
  <c r="J23" i="51"/>
  <c r="J27" i="51" s="1"/>
  <c r="M23" i="51"/>
  <c r="M20" i="56" s="1"/>
  <c r="C23" i="51"/>
  <c r="C27" i="51" s="1"/>
  <c r="G23" i="51"/>
  <c r="G20" i="56" s="1"/>
  <c r="H16" i="33"/>
  <c r="D16" i="33"/>
  <c r="K16" i="33"/>
  <c r="G16" i="33"/>
  <c r="N16" i="33"/>
  <c r="L16" i="33"/>
  <c r="I16" i="33"/>
  <c r="E16" i="33"/>
  <c r="S29" i="3"/>
  <c r="G16" i="62"/>
  <c r="E16" i="62"/>
  <c r="I16" i="62"/>
  <c r="K16" i="62"/>
  <c r="D16" i="62"/>
  <c r="B24" i="62"/>
  <c r="F16" i="62"/>
  <c r="M16" i="62"/>
  <c r="L16" i="62"/>
  <c r="C16" i="62"/>
  <c r="J16" i="62"/>
  <c r="O5" i="33"/>
  <c r="O10" i="33"/>
  <c r="O21" i="33"/>
  <c r="O4" i="62"/>
  <c r="O6" i="33"/>
  <c r="O19" i="33"/>
  <c r="O14" i="33"/>
  <c r="O5" i="62"/>
  <c r="O7" i="62"/>
  <c r="O10" i="62"/>
  <c r="O23" i="62"/>
  <c r="O9" i="62"/>
  <c r="O21" i="62"/>
  <c r="O15" i="62"/>
  <c r="O12" i="33"/>
  <c r="O13" i="62"/>
  <c r="O15" i="33"/>
  <c r="O17" i="33"/>
  <c r="F5" i="50"/>
  <c r="F5" i="56"/>
  <c r="E5" i="50"/>
  <c r="E5" i="56"/>
  <c r="D5" i="50"/>
  <c r="D5" i="56"/>
  <c r="L7" i="56"/>
  <c r="L7" i="50"/>
  <c r="C7" i="56"/>
  <c r="C7" i="50"/>
  <c r="O10" i="51"/>
  <c r="M7" i="56"/>
  <c r="M7" i="50"/>
  <c r="G10" i="50"/>
  <c r="G10" i="56"/>
  <c r="L10" i="50"/>
  <c r="L10" i="56"/>
  <c r="I10" i="50"/>
  <c r="I10" i="56"/>
  <c r="C23" i="56"/>
  <c r="C23" i="50"/>
  <c r="O26" i="51"/>
  <c r="G23" i="56"/>
  <c r="G23" i="50"/>
  <c r="M23" i="50"/>
  <c r="M23" i="56"/>
  <c r="F9" i="56"/>
  <c r="F9" i="50"/>
  <c r="I9" i="50"/>
  <c r="I9" i="56"/>
  <c r="H9" i="56"/>
  <c r="H9" i="50"/>
  <c r="F21" i="56"/>
  <c r="F21" i="50"/>
  <c r="I21" i="50"/>
  <c r="I21" i="56"/>
  <c r="D21" i="56"/>
  <c r="D21" i="50"/>
  <c r="D15" i="50"/>
  <c r="D15" i="56"/>
  <c r="E15" i="56"/>
  <c r="E15" i="50"/>
  <c r="L15" i="50"/>
  <c r="L15" i="56"/>
  <c r="D22" i="56"/>
  <c r="D22" i="50"/>
  <c r="N22" i="50"/>
  <c r="N22" i="56"/>
  <c r="K22" i="50"/>
  <c r="K22" i="56"/>
  <c r="G12" i="56"/>
  <c r="G12" i="50"/>
  <c r="M12" i="56"/>
  <c r="M12" i="50"/>
  <c r="H12" i="56"/>
  <c r="H12" i="50"/>
  <c r="F13" i="56"/>
  <c r="F13" i="50"/>
  <c r="E13" i="50"/>
  <c r="E13" i="56"/>
  <c r="D13" i="50"/>
  <c r="D13" i="56"/>
  <c r="H4" i="56"/>
  <c r="H4" i="50"/>
  <c r="H27" i="51"/>
  <c r="F4" i="56"/>
  <c r="F27" i="51"/>
  <c r="F4" i="50"/>
  <c r="C4" i="56"/>
  <c r="C4" i="50"/>
  <c r="O7" i="51"/>
  <c r="J6" i="50"/>
  <c r="J6" i="56"/>
  <c r="C6" i="56"/>
  <c r="C6" i="50"/>
  <c r="O9" i="51"/>
  <c r="E6" i="50"/>
  <c r="E6" i="56"/>
  <c r="J17" i="50"/>
  <c r="J17" i="56"/>
  <c r="M17" i="56"/>
  <c r="M17" i="50"/>
  <c r="C17" i="56"/>
  <c r="C17" i="50"/>
  <c r="O20" i="51"/>
  <c r="J16" i="50"/>
  <c r="J16" i="56"/>
  <c r="H16" i="50"/>
  <c r="H16" i="56"/>
  <c r="D16" i="50"/>
  <c r="D16" i="56"/>
  <c r="J19" i="50"/>
  <c r="J19" i="56"/>
  <c r="L19" i="56"/>
  <c r="L19" i="50"/>
  <c r="I19" i="50"/>
  <c r="I19" i="56"/>
  <c r="J11" i="50"/>
  <c r="J11" i="56"/>
  <c r="I11" i="56"/>
  <c r="I11" i="50"/>
  <c r="G11" i="50"/>
  <c r="G11" i="56"/>
  <c r="J14" i="50"/>
  <c r="J14" i="56"/>
  <c r="I14" i="50"/>
  <c r="I14" i="56"/>
  <c r="C14" i="56"/>
  <c r="C14" i="50"/>
  <c r="O17" i="51"/>
  <c r="J8" i="50"/>
  <c r="J8" i="56"/>
  <c r="F8" i="56"/>
  <c r="F8" i="50"/>
  <c r="D8" i="50"/>
  <c r="D8" i="56"/>
  <c r="J18" i="56"/>
  <c r="J18" i="50"/>
  <c r="M18" i="56"/>
  <c r="M18" i="50"/>
  <c r="H18" i="56"/>
  <c r="H18" i="50"/>
  <c r="O9" i="33"/>
  <c r="O12" i="62"/>
  <c r="O13" i="33"/>
  <c r="O8" i="33"/>
  <c r="O4" i="33"/>
  <c r="K5" i="50"/>
  <c r="K5" i="56"/>
  <c r="I5" i="56"/>
  <c r="I5" i="50"/>
  <c r="H5" i="50"/>
  <c r="H5" i="56"/>
  <c r="K7" i="56"/>
  <c r="K7" i="50"/>
  <c r="E7" i="56"/>
  <c r="E7" i="50"/>
  <c r="N7" i="56"/>
  <c r="N7" i="50"/>
  <c r="C10" i="56"/>
  <c r="C10" i="50"/>
  <c r="O13" i="51"/>
  <c r="F10" i="50"/>
  <c r="F10" i="56"/>
  <c r="N10" i="50"/>
  <c r="N10" i="56"/>
  <c r="H23" i="56"/>
  <c r="H23" i="50"/>
  <c r="E23" i="56"/>
  <c r="E23" i="50"/>
  <c r="F23" i="50"/>
  <c r="F23" i="56"/>
  <c r="E9" i="56"/>
  <c r="E9" i="50"/>
  <c r="K9" i="56"/>
  <c r="K9" i="50"/>
  <c r="L9" i="50"/>
  <c r="L9" i="56"/>
  <c r="K21" i="56"/>
  <c r="K21" i="50"/>
  <c r="N21" i="56"/>
  <c r="N21" i="50"/>
  <c r="H21" i="56"/>
  <c r="H21" i="50"/>
  <c r="K15" i="56"/>
  <c r="K15" i="50"/>
  <c r="M15" i="50"/>
  <c r="M15" i="56"/>
  <c r="N15" i="56"/>
  <c r="N15" i="50"/>
  <c r="I22" i="56"/>
  <c r="I22" i="50"/>
  <c r="F22" i="50"/>
  <c r="F22" i="56"/>
  <c r="H22" i="50"/>
  <c r="H22" i="56"/>
  <c r="D12" i="50"/>
  <c r="D12" i="56"/>
  <c r="K12" i="50"/>
  <c r="K12" i="56"/>
  <c r="I12" i="50"/>
  <c r="I12" i="56"/>
  <c r="C13" i="56"/>
  <c r="C13" i="50"/>
  <c r="O16" i="51"/>
  <c r="I13" i="56"/>
  <c r="I13" i="50"/>
  <c r="L13" i="56"/>
  <c r="L13" i="50"/>
  <c r="D4" i="56"/>
  <c r="D4" i="50"/>
  <c r="D27" i="51"/>
  <c r="M4" i="56"/>
  <c r="M4" i="50"/>
  <c r="I4" i="50"/>
  <c r="I4" i="56"/>
  <c r="N6" i="56"/>
  <c r="N6" i="50"/>
  <c r="F6" i="56"/>
  <c r="F6" i="50"/>
  <c r="D6" i="50"/>
  <c r="D6" i="56"/>
  <c r="L20" i="56"/>
  <c r="H20" i="50"/>
  <c r="H20" i="56"/>
  <c r="E17" i="50"/>
  <c r="E17" i="56"/>
  <c r="F17" i="50"/>
  <c r="F17" i="56"/>
  <c r="D17" i="50"/>
  <c r="D17" i="56"/>
  <c r="L16" i="56"/>
  <c r="L16" i="50"/>
  <c r="C16" i="56"/>
  <c r="C16" i="50"/>
  <c r="O19" i="51"/>
  <c r="N16" i="56"/>
  <c r="N16" i="50"/>
  <c r="C19" i="56"/>
  <c r="C19" i="50"/>
  <c r="O22" i="51"/>
  <c r="K19" i="56"/>
  <c r="K19" i="50"/>
  <c r="H19" i="50"/>
  <c r="H19" i="56"/>
  <c r="L11" i="56"/>
  <c r="L11" i="50"/>
  <c r="M11" i="50"/>
  <c r="M11" i="56"/>
  <c r="C11" i="56"/>
  <c r="C11" i="50"/>
  <c r="O14" i="51"/>
  <c r="K14" i="50"/>
  <c r="K14" i="56"/>
  <c r="N14" i="50"/>
  <c r="N14" i="56"/>
  <c r="H14" i="50"/>
  <c r="H14" i="56"/>
  <c r="N8" i="56"/>
  <c r="N8" i="50"/>
  <c r="K8" i="50"/>
  <c r="K8" i="56"/>
  <c r="L8" i="56"/>
  <c r="L8" i="50"/>
  <c r="E18" i="50"/>
  <c r="E18" i="56"/>
  <c r="F18" i="50"/>
  <c r="F18" i="56"/>
  <c r="L18" i="50"/>
  <c r="L18" i="56"/>
  <c r="G5" i="56"/>
  <c r="G5" i="50"/>
  <c r="M5" i="56"/>
  <c r="M5" i="50"/>
  <c r="L5" i="50"/>
  <c r="L5" i="56"/>
  <c r="H7" i="50"/>
  <c r="H7" i="56"/>
  <c r="D7" i="56"/>
  <c r="D7" i="50"/>
  <c r="F7" i="50"/>
  <c r="F7" i="56"/>
  <c r="H10" i="56"/>
  <c r="H10" i="50"/>
  <c r="E10" i="50"/>
  <c r="E10" i="56"/>
  <c r="M10" i="50"/>
  <c r="M10" i="56"/>
  <c r="L23" i="50"/>
  <c r="L23" i="56"/>
  <c r="D23" i="50"/>
  <c r="D23" i="56"/>
  <c r="N23" i="56"/>
  <c r="N23" i="50"/>
  <c r="M9" i="50"/>
  <c r="M9" i="56"/>
  <c r="G9" i="50"/>
  <c r="G9" i="56"/>
  <c r="D9" i="56"/>
  <c r="D9" i="50"/>
  <c r="G21" i="56"/>
  <c r="G21" i="50"/>
  <c r="E21" i="56"/>
  <c r="E21" i="50"/>
  <c r="L21" i="56"/>
  <c r="L21" i="50"/>
  <c r="G15" i="50"/>
  <c r="G15" i="56"/>
  <c r="I15" i="50"/>
  <c r="I15" i="56"/>
  <c r="F15" i="50"/>
  <c r="F15" i="56"/>
  <c r="L22" i="50"/>
  <c r="L22" i="56"/>
  <c r="C22" i="56"/>
  <c r="C22" i="50"/>
  <c r="O25" i="51"/>
  <c r="G22" i="56"/>
  <c r="G22" i="50"/>
  <c r="N12" i="50"/>
  <c r="N12" i="56"/>
  <c r="F12" i="50"/>
  <c r="F12" i="56"/>
  <c r="E12" i="56"/>
  <c r="E12" i="50"/>
  <c r="K13" i="50"/>
  <c r="K13" i="56"/>
  <c r="N13" i="50"/>
  <c r="N13" i="56"/>
  <c r="H13" i="50"/>
  <c r="H13" i="56"/>
  <c r="N4" i="56"/>
  <c r="N4" i="50"/>
  <c r="K4" i="56"/>
  <c r="K4" i="50"/>
  <c r="E4" i="56"/>
  <c r="E4" i="50"/>
  <c r="E27" i="51"/>
  <c r="G6" i="56"/>
  <c r="G6" i="50"/>
  <c r="M6" i="56"/>
  <c r="M6" i="50"/>
  <c r="I6" i="56"/>
  <c r="I6" i="50"/>
  <c r="D20" i="50"/>
  <c r="D20" i="56"/>
  <c r="I17" i="56"/>
  <c r="I17" i="50"/>
  <c r="K17" i="56"/>
  <c r="K17" i="50"/>
  <c r="L17" i="50"/>
  <c r="L17" i="56"/>
  <c r="K16" i="56"/>
  <c r="K16" i="50"/>
  <c r="F16" i="56"/>
  <c r="F16" i="50"/>
  <c r="I16" i="50"/>
  <c r="I16" i="56"/>
  <c r="E19" i="50"/>
  <c r="E19" i="56"/>
  <c r="G19" i="50"/>
  <c r="G19" i="56"/>
  <c r="F19" i="50"/>
  <c r="F19" i="56"/>
  <c r="E11" i="56"/>
  <c r="E11" i="50"/>
  <c r="H11" i="56"/>
  <c r="H11" i="50"/>
  <c r="F11" i="56"/>
  <c r="F11" i="50"/>
  <c r="E14" i="50"/>
  <c r="E14" i="56"/>
  <c r="M14" i="50"/>
  <c r="M14" i="56"/>
  <c r="L14" i="50"/>
  <c r="L14" i="56"/>
  <c r="M8" i="50"/>
  <c r="M8" i="56"/>
  <c r="G8" i="50"/>
  <c r="G8" i="56"/>
  <c r="E8" i="56"/>
  <c r="E8" i="50"/>
  <c r="I18" i="56"/>
  <c r="I18" i="50"/>
  <c r="D18" i="50"/>
  <c r="D18" i="56"/>
  <c r="K18" i="50"/>
  <c r="K18" i="56"/>
  <c r="O7" i="33"/>
  <c r="O23" i="33"/>
  <c r="O11" i="33"/>
  <c r="O18" i="33"/>
  <c r="O6" i="62"/>
  <c r="O20" i="62"/>
  <c r="O17" i="62"/>
  <c r="O11" i="62"/>
  <c r="O14" i="62"/>
  <c r="O8" i="62"/>
  <c r="O18" i="62"/>
  <c r="J5" i="56"/>
  <c r="J5" i="50"/>
  <c r="C5" i="56"/>
  <c r="C5" i="50"/>
  <c r="O8" i="51"/>
  <c r="N5" i="50"/>
  <c r="N5" i="56"/>
  <c r="J7" i="50"/>
  <c r="J7" i="56"/>
  <c r="G7" i="50"/>
  <c r="G7" i="56"/>
  <c r="I7" i="50"/>
  <c r="I7" i="56"/>
  <c r="J10" i="50"/>
  <c r="J10" i="56"/>
  <c r="K10" i="56"/>
  <c r="K10" i="50"/>
  <c r="D10" i="50"/>
  <c r="D10" i="56"/>
  <c r="J23" i="56"/>
  <c r="J23" i="50"/>
  <c r="K23" i="50"/>
  <c r="K23" i="56"/>
  <c r="I23" i="56"/>
  <c r="I23" i="50"/>
  <c r="J9" i="50"/>
  <c r="J9" i="56"/>
  <c r="C9" i="56"/>
  <c r="C9" i="50"/>
  <c r="O12" i="51"/>
  <c r="N9" i="56"/>
  <c r="N9" i="50"/>
  <c r="J21" i="50"/>
  <c r="J21" i="56"/>
  <c r="C21" i="56"/>
  <c r="C21" i="50"/>
  <c r="O24" i="51"/>
  <c r="M21" i="50"/>
  <c r="M21" i="56"/>
  <c r="J15" i="50"/>
  <c r="J15" i="56"/>
  <c r="C15" i="56"/>
  <c r="C15" i="50"/>
  <c r="O18" i="51"/>
  <c r="H15" i="56"/>
  <c r="H15" i="50"/>
  <c r="J22" i="50"/>
  <c r="J22" i="56"/>
  <c r="E22" i="56"/>
  <c r="E22" i="50"/>
  <c r="M22" i="50"/>
  <c r="M22" i="56"/>
  <c r="J12" i="50"/>
  <c r="J12" i="56"/>
  <c r="L12" i="50"/>
  <c r="L12" i="56"/>
  <c r="C12" i="56"/>
  <c r="C12" i="50"/>
  <c r="O15" i="51"/>
  <c r="J13" i="50"/>
  <c r="J13" i="56"/>
  <c r="G13" i="56"/>
  <c r="G13" i="50"/>
  <c r="M13" i="56"/>
  <c r="M13" i="50"/>
  <c r="J4" i="50"/>
  <c r="J4" i="56"/>
  <c r="L4" i="56"/>
  <c r="L4" i="50"/>
  <c r="G4" i="56"/>
  <c r="G4" i="50"/>
  <c r="L6" i="56"/>
  <c r="L6" i="50"/>
  <c r="K6" i="56"/>
  <c r="K6" i="50"/>
  <c r="H6" i="56"/>
  <c r="H6" i="50"/>
  <c r="E20" i="56"/>
  <c r="E20" i="50"/>
  <c r="N17" i="56"/>
  <c r="N17" i="50"/>
  <c r="G17" i="50"/>
  <c r="G17" i="56"/>
  <c r="H17" i="50"/>
  <c r="H17" i="56"/>
  <c r="G16" i="50"/>
  <c r="G16" i="56"/>
  <c r="M16" i="56"/>
  <c r="M16" i="50"/>
  <c r="E16" i="56"/>
  <c r="E16" i="50"/>
  <c r="M19" i="56"/>
  <c r="M19" i="50"/>
  <c r="D19" i="50"/>
  <c r="D19" i="56"/>
  <c r="N19" i="50"/>
  <c r="N19" i="56"/>
  <c r="D11" i="56"/>
  <c r="D11" i="50"/>
  <c r="K11" i="56"/>
  <c r="K11" i="50"/>
  <c r="N11" i="56"/>
  <c r="N11" i="50"/>
  <c r="D14" i="50"/>
  <c r="D14" i="56"/>
  <c r="G14" i="56"/>
  <c r="G14" i="50"/>
  <c r="F14" i="56"/>
  <c r="F14" i="50"/>
  <c r="H8" i="50"/>
  <c r="H8" i="56"/>
  <c r="C8" i="56"/>
  <c r="C8" i="50"/>
  <c r="O11" i="51"/>
  <c r="I8" i="50"/>
  <c r="I8" i="56"/>
  <c r="N18" i="50"/>
  <c r="N18" i="56"/>
  <c r="G18" i="56"/>
  <c r="G18" i="50"/>
  <c r="C18" i="56"/>
  <c r="C18" i="50"/>
  <c r="O21" i="51"/>
  <c r="H9" i="3"/>
  <c r="H29" i="3" s="1"/>
  <c r="G29" i="3"/>
  <c r="L9" i="3"/>
  <c r="N9" i="3"/>
  <c r="K29" i="3"/>
  <c r="O4" i="68" l="1"/>
  <c r="O22" i="62"/>
  <c r="G27" i="51"/>
  <c r="I20" i="56"/>
  <c r="I24" i="56" s="1"/>
  <c r="N20" i="50"/>
  <c r="N24" i="50" s="1"/>
  <c r="K27" i="51"/>
  <c r="G20" i="50"/>
  <c r="G24" i="50" s="1"/>
  <c r="J20" i="56"/>
  <c r="I20" i="50"/>
  <c r="I24" i="50" s="1"/>
  <c r="K20" i="56"/>
  <c r="K24" i="56" s="1"/>
  <c r="O22" i="33"/>
  <c r="M27" i="51"/>
  <c r="F20" i="56"/>
  <c r="F24" i="56" s="1"/>
  <c r="M20" i="50"/>
  <c r="M24" i="50" s="1"/>
  <c r="O20" i="33"/>
  <c r="O19" i="62"/>
  <c r="N20" i="56"/>
  <c r="N24" i="56" s="1"/>
  <c r="L27" i="51"/>
  <c r="J20" i="50"/>
  <c r="J24" i="50" s="1"/>
  <c r="O16" i="33"/>
  <c r="C20" i="56"/>
  <c r="C20" i="50"/>
  <c r="O23" i="51"/>
  <c r="O16" i="62"/>
  <c r="O12" i="50"/>
  <c r="O21" i="56"/>
  <c r="O13" i="56"/>
  <c r="L24" i="56"/>
  <c r="O5" i="56"/>
  <c r="L24" i="50"/>
  <c r="O4" i="56"/>
  <c r="J24" i="56"/>
  <c r="O22" i="50"/>
  <c r="O9" i="56"/>
  <c r="O10" i="56"/>
  <c r="D24" i="50"/>
  <c r="O8" i="50"/>
  <c r="O11" i="56"/>
  <c r="O16" i="56"/>
  <c r="O17" i="50"/>
  <c r="O6" i="56"/>
  <c r="O12" i="56"/>
  <c r="O9" i="50"/>
  <c r="O10" i="50"/>
  <c r="O5" i="50"/>
  <c r="E24" i="50"/>
  <c r="D24" i="56"/>
  <c r="O18" i="50"/>
  <c r="O16" i="50"/>
  <c r="O6" i="50"/>
  <c r="O23" i="50"/>
  <c r="O15" i="56"/>
  <c r="O21" i="50"/>
  <c r="O7" i="56"/>
  <c r="E24" i="56"/>
  <c r="O11" i="50"/>
  <c r="M24" i="56"/>
  <c r="O18" i="56"/>
  <c r="O14" i="56"/>
  <c r="O19" i="56"/>
  <c r="F24" i="50"/>
  <c r="H24" i="50"/>
  <c r="G24" i="56"/>
  <c r="O13" i="50"/>
  <c r="O22" i="56"/>
  <c r="O15" i="50"/>
  <c r="O23" i="56"/>
  <c r="O7" i="50"/>
  <c r="K24" i="50"/>
  <c r="O8" i="56"/>
  <c r="O14" i="50"/>
  <c r="O19" i="50"/>
  <c r="O17" i="56"/>
  <c r="O4" i="50"/>
  <c r="H24" i="56"/>
  <c r="O9" i="3"/>
  <c r="N29" i="3"/>
  <c r="M9" i="3"/>
  <c r="L29" i="3"/>
  <c r="M29" i="3" s="1"/>
  <c r="O20" i="56" l="1"/>
  <c r="O27" i="51"/>
  <c r="O20" i="50"/>
  <c r="C24" i="50"/>
  <c r="O24" i="50" s="1"/>
  <c r="C24" i="56"/>
  <c r="O24" i="56" s="1"/>
  <c r="O29" i="3"/>
  <c r="P9" i="3" s="1"/>
  <c r="Q9" i="3" l="1"/>
  <c r="P15" i="3"/>
  <c r="Q15" i="3" s="1"/>
  <c r="R15" i="3" s="1"/>
  <c r="P18" i="3"/>
  <c r="Q18" i="3" s="1"/>
  <c r="R18" i="3" s="1"/>
  <c r="P17" i="3"/>
  <c r="Q17" i="3" s="1"/>
  <c r="R17" i="3" s="1"/>
  <c r="P11" i="3"/>
  <c r="Q11" i="3" s="1"/>
  <c r="R11" i="3" s="1"/>
  <c r="P12" i="3"/>
  <c r="Q12" i="3" s="1"/>
  <c r="R12" i="3" s="1"/>
  <c r="P16" i="3"/>
  <c r="Q16" i="3" s="1"/>
  <c r="R16" i="3" s="1"/>
  <c r="P19" i="3"/>
  <c r="Q19" i="3" s="1"/>
  <c r="R19" i="3" s="1"/>
  <c r="P14" i="3"/>
  <c r="Q14" i="3" s="1"/>
  <c r="R14" i="3" s="1"/>
  <c r="P10" i="3"/>
  <c r="Q10" i="3" s="1"/>
  <c r="R10" i="3" s="1"/>
  <c r="P13" i="3"/>
  <c r="Q13" i="3" s="1"/>
  <c r="R13" i="3" s="1"/>
  <c r="P21" i="3"/>
  <c r="Q21" i="3" s="1"/>
  <c r="R21" i="3" s="1"/>
  <c r="P24" i="3"/>
  <c r="Q24" i="3" s="1"/>
  <c r="R24" i="3" s="1"/>
  <c r="P22" i="3"/>
  <c r="Q22" i="3" s="1"/>
  <c r="R22" i="3" s="1"/>
  <c r="P27" i="3"/>
  <c r="Q27" i="3" s="1"/>
  <c r="R27" i="3" s="1"/>
  <c r="P25" i="3"/>
  <c r="Q25" i="3" s="1"/>
  <c r="R25" i="3" s="1"/>
  <c r="P26" i="3"/>
  <c r="Q26" i="3" s="1"/>
  <c r="R26" i="3" s="1"/>
  <c r="P20" i="3"/>
  <c r="Q20" i="3" s="1"/>
  <c r="R20" i="3" s="1"/>
  <c r="P23" i="3"/>
  <c r="Q23" i="3" s="1"/>
  <c r="R23" i="3" s="1"/>
  <c r="P28" i="3"/>
  <c r="Q28" i="3" s="1"/>
  <c r="R28" i="3" s="1"/>
  <c r="T29" i="3"/>
  <c r="R9" i="3" l="1"/>
  <c r="R29" i="3" s="1"/>
  <c r="Q29" i="3"/>
  <c r="P29" i="3"/>
  <c r="J8" i="13"/>
  <c r="K8" i="8"/>
  <c r="K28" i="8" s="1"/>
  <c r="J28" i="13" l="1"/>
  <c r="AI9" i="3"/>
  <c r="AI29" i="3" s="1"/>
  <c r="Y9" i="3"/>
  <c r="Y29" i="3" s="1"/>
  <c r="D4" i="43"/>
  <c r="D24" i="43" s="1"/>
  <c r="D26" i="43" s="1"/>
  <c r="D29" i="45"/>
  <c r="O7" i="45"/>
  <c r="O27" i="45" s="1"/>
  <c r="O29" i="45" s="1"/>
  <c r="D5" i="59"/>
  <c r="D25" i="59" s="1"/>
  <c r="D27" i="59" s="1"/>
  <c r="R27" i="45" l="1"/>
  <c r="O5" i="59"/>
  <c r="O25" i="59" s="1"/>
  <c r="O27" i="59" s="1"/>
  <c r="O4" i="43"/>
  <c r="O24" i="43" s="1"/>
  <c r="O26" i="43" s="1"/>
</calcChain>
</file>

<file path=xl/sharedStrings.xml><?xml version="1.0" encoding="utf-8"?>
<sst xmlns="http://schemas.openxmlformats.org/spreadsheetml/2006/main" count="3142" uniqueCount="525">
  <si>
    <t>FONDO GENERAL DE PARTICIPACIONES</t>
  </si>
  <si>
    <t>ENERO</t>
  </si>
  <si>
    <t>FEBRERO</t>
  </si>
  <si>
    <t>MARZO</t>
  </si>
  <si>
    <t>ABRIL</t>
  </si>
  <si>
    <t>MAYO</t>
  </si>
  <si>
    <t>JUNIO</t>
  </si>
  <si>
    <t>JULIO</t>
  </si>
  <si>
    <t>AGOSTO</t>
  </si>
  <si>
    <t>SEPTIEMBRE</t>
  </si>
  <si>
    <t>OCTUBRE</t>
  </si>
  <si>
    <t>NOVIEMBRE</t>
  </si>
  <si>
    <t>DICIEMBRE</t>
  </si>
  <si>
    <t>MUNICIPIO</t>
  </si>
  <si>
    <t xml:space="preserve">Factor de Distribuciòn </t>
  </si>
  <si>
    <t>Primera parte del Coeficiente 60% (relativa a Poblaciòn)</t>
  </si>
  <si>
    <t>Segunda parte del fondo 30% (relativa a Recaudación)</t>
  </si>
  <si>
    <t>Suma de Asignaciones</t>
  </si>
  <si>
    <t>Tercera parte del fondo 10% (relativa a Resarcitoria)</t>
  </si>
  <si>
    <t>IMPORTE</t>
  </si>
  <si>
    <t>Distribuido</t>
  </si>
  <si>
    <t xml:space="preserve">Población </t>
  </si>
  <si>
    <t>Coeficiente</t>
  </si>
  <si>
    <t xml:space="preserve">coeficiente </t>
  </si>
  <si>
    <t>Distribucion</t>
  </si>
  <si>
    <t>Recaudacion Agua Potable y Predial</t>
  </si>
  <si>
    <t>Coeficiente de Participacion</t>
  </si>
  <si>
    <t>Distribucion del FGP</t>
  </si>
  <si>
    <t>Porcentaje que representa</t>
  </si>
  <si>
    <t>Coeficiente 3</t>
  </si>
  <si>
    <t>en</t>
  </si>
  <si>
    <t xml:space="preserve">de </t>
  </si>
  <si>
    <t>efectivo</t>
  </si>
  <si>
    <t>del FGP</t>
  </si>
  <si>
    <t>de Participaciòn</t>
  </si>
  <si>
    <t>Resarcitorio</t>
  </si>
  <si>
    <t>2014</t>
  </si>
  <si>
    <t>Relativa</t>
  </si>
  <si>
    <t>Absoluta</t>
  </si>
  <si>
    <t>Participacion</t>
  </si>
  <si>
    <t>2014/2013</t>
  </si>
  <si>
    <t>C 2</t>
  </si>
  <si>
    <t>resarcitoria</t>
  </si>
  <si>
    <t>Inverso en $</t>
  </si>
  <si>
    <t>$</t>
  </si>
  <si>
    <t>Acaponeta</t>
  </si>
  <si>
    <t>Ahuacatlán</t>
  </si>
  <si>
    <t>Amatlán de Cañas</t>
  </si>
  <si>
    <t>Bahía de Banderas</t>
  </si>
  <si>
    <t>Compostela</t>
  </si>
  <si>
    <t>El Nayar</t>
  </si>
  <si>
    <t>Huajicori</t>
  </si>
  <si>
    <t>Ixtlán del Río</t>
  </si>
  <si>
    <t>Jala</t>
  </si>
  <si>
    <t>La Yesca</t>
  </si>
  <si>
    <t>Rosamorada</t>
  </si>
  <si>
    <t>Ruiz</t>
  </si>
  <si>
    <t>San Blas</t>
  </si>
  <si>
    <t>San Pedro Lagunillas</t>
  </si>
  <si>
    <t>Santa María del Oro</t>
  </si>
  <si>
    <t>Santiago Ixcuintla</t>
  </si>
  <si>
    <t>Tecuala</t>
  </si>
  <si>
    <t>Tepic</t>
  </si>
  <si>
    <t>Tuxpan</t>
  </si>
  <si>
    <t>Xalisco</t>
  </si>
  <si>
    <t>Totales</t>
  </si>
  <si>
    <t>COEFICIENTE 1</t>
  </si>
  <si>
    <t>COEFICIENTE 2</t>
  </si>
  <si>
    <t>COEFCIENTE 3</t>
  </si>
  <si>
    <t>Población</t>
  </si>
  <si>
    <t>(1)</t>
  </si>
  <si>
    <t>(3)</t>
  </si>
  <si>
    <t>(4)(3=4/∑4)100</t>
  </si>
  <si>
    <t>(5)</t>
  </si>
  <si>
    <t>(7)</t>
  </si>
  <si>
    <t>(8)</t>
  </si>
  <si>
    <t>(9)</t>
  </si>
  <si>
    <t>(10)(9=10/∑10)100</t>
  </si>
  <si>
    <t>(11)</t>
  </si>
  <si>
    <t>(17)</t>
  </si>
  <si>
    <t>FUENTES.</t>
  </si>
  <si>
    <t>Convenio</t>
  </si>
  <si>
    <t>Total</t>
  </si>
  <si>
    <t>Municipios</t>
  </si>
  <si>
    <t>Factor de</t>
  </si>
  <si>
    <t>relativa</t>
  </si>
  <si>
    <t xml:space="preserve"> Rec de Predial y Agua</t>
  </si>
  <si>
    <t>Distribucion x</t>
  </si>
  <si>
    <t>Total Distribucion</t>
  </si>
  <si>
    <t>Distribución</t>
  </si>
  <si>
    <t xml:space="preserve">No. de </t>
  </si>
  <si>
    <t>%</t>
  </si>
  <si>
    <t>del crecimiento</t>
  </si>
  <si>
    <t>35%</t>
  </si>
  <si>
    <t>absoluta</t>
  </si>
  <si>
    <t>30%</t>
  </si>
  <si>
    <t>del F.F.M.</t>
  </si>
  <si>
    <t>(2)</t>
  </si>
  <si>
    <t>(4)</t>
  </si>
  <si>
    <t>(5= 70%/2 x 4)</t>
  </si>
  <si>
    <t>(6)</t>
  </si>
  <si>
    <t>(8=70%/2*7)</t>
  </si>
  <si>
    <t>(10)</t>
  </si>
  <si>
    <t>(12=30%*10)</t>
  </si>
  <si>
    <t>(13=5+8+11)</t>
  </si>
  <si>
    <t>(13=2+9+12)</t>
  </si>
  <si>
    <t>determinado</t>
  </si>
  <si>
    <t>corregido</t>
  </si>
  <si>
    <t>diferencia</t>
  </si>
  <si>
    <t>PUBLICADO</t>
  </si>
  <si>
    <t>DIFERENCIA</t>
  </si>
  <si>
    <t>PIBLICADO</t>
  </si>
  <si>
    <t>No</t>
  </si>
  <si>
    <t>Si</t>
  </si>
  <si>
    <t>NO</t>
  </si>
  <si>
    <t>SI</t>
  </si>
  <si>
    <t>CUADRO COMPARATIVO CON EL CAMBIO DE FORMULAS</t>
  </si>
  <si>
    <t xml:space="preserve">Distribuido </t>
  </si>
  <si>
    <t xml:space="preserve">Crecimiento </t>
  </si>
  <si>
    <t xml:space="preserve">Total con la </t>
  </si>
  <si>
    <t>Diferencias</t>
  </si>
  <si>
    <t xml:space="preserve">en </t>
  </si>
  <si>
    <t>del fondo en</t>
  </si>
  <si>
    <t>FFM a Mpios</t>
  </si>
  <si>
    <t>formula del</t>
  </si>
  <si>
    <t xml:space="preserve">en formulas </t>
  </si>
  <si>
    <t>2014 (100%)</t>
  </si>
  <si>
    <t>2014 (70%)</t>
  </si>
  <si>
    <t>2015 (70%)</t>
  </si>
  <si>
    <t>en 2015</t>
  </si>
  <si>
    <t>2015-2014</t>
  </si>
  <si>
    <t>(6=3+4)</t>
  </si>
  <si>
    <t>Esfuerzo Recaudatorio</t>
  </si>
  <si>
    <t>(6 = 4*5)</t>
  </si>
  <si>
    <t>(7=(6/∑6)100)</t>
  </si>
  <si>
    <t>(9=2+8)</t>
  </si>
  <si>
    <t>modificado</t>
  </si>
  <si>
    <t>Porcentaje</t>
  </si>
  <si>
    <t xml:space="preserve">Coeficiente </t>
  </si>
  <si>
    <t>Coeficiente 1</t>
  </si>
  <si>
    <t>Coeficiente 2</t>
  </si>
  <si>
    <t xml:space="preserve">Suma de </t>
  </si>
  <si>
    <t>Efectivo</t>
  </si>
  <si>
    <t>Coeficientes</t>
  </si>
  <si>
    <t xml:space="preserve">Relativa </t>
  </si>
  <si>
    <t>5=(2+4)</t>
  </si>
  <si>
    <t xml:space="preserve">ACAPONETA </t>
  </si>
  <si>
    <t>AHUACATLAN</t>
  </si>
  <si>
    <t>AMATLAN DE CAÑAS</t>
  </si>
  <si>
    <t>BAHÍA DE BANDERAS</t>
  </si>
  <si>
    <t>COMPOSTELA</t>
  </si>
  <si>
    <t>DEL NAYAR</t>
  </si>
  <si>
    <t>HUAJICORI</t>
  </si>
  <si>
    <t>IXTLAN DEL RIO</t>
  </si>
  <si>
    <t>JALA</t>
  </si>
  <si>
    <t>LA YESCA</t>
  </si>
  <si>
    <t>ROSAMORADA</t>
  </si>
  <si>
    <t>RUIZ</t>
  </si>
  <si>
    <t>SAN BLAS</t>
  </si>
  <si>
    <t>SAN PEDRO LAG.</t>
  </si>
  <si>
    <t>STA. MARIA DEL ORO</t>
  </si>
  <si>
    <t>SANTIAGO IXCUINTLA</t>
  </si>
  <si>
    <t>TECUALA</t>
  </si>
  <si>
    <t>TEPIC</t>
  </si>
  <si>
    <t>TUXPAN</t>
  </si>
  <si>
    <t>XALISCO</t>
  </si>
  <si>
    <t>PREDIAL</t>
  </si>
  <si>
    <t>AGUA</t>
  </si>
  <si>
    <t>TOTAL</t>
  </si>
  <si>
    <t>fuente:</t>
  </si>
  <si>
    <t>Cuadro 9</t>
  </si>
  <si>
    <t>para el 2015</t>
  </si>
  <si>
    <t>7=(2+4+6)</t>
  </si>
  <si>
    <t>8</t>
  </si>
  <si>
    <t>Cuadro No. 1</t>
  </si>
  <si>
    <t>Recaudación Federal Participable Aplicable para el Calculo de las Participaciones a los Municipios</t>
  </si>
  <si>
    <t>CONCEPTO</t>
  </si>
  <si>
    <t xml:space="preserve">Fondo General de Participaciones </t>
  </si>
  <si>
    <t>Fondo General de Participaciones base 2014 (recibido y distribuido en el 2014)</t>
  </si>
  <si>
    <t>Crecimiento del Fondo General de Participaciones (1-2)</t>
  </si>
  <si>
    <t>Fondo General de Participaciones base de Distribución por crecimiento (3 x 22.5%)</t>
  </si>
  <si>
    <t>Fondo General de Participaciones Base 2014 con la formula anterior (2 x 22.5%)</t>
  </si>
  <si>
    <t>Suma (5.1 + 5.2 + 5.3) = (3)</t>
  </si>
  <si>
    <t>Fondo de Fomento Municipal</t>
  </si>
  <si>
    <t>Fondo de Fomento Municipal base 2014 (recibido y distribuido en el 2014)</t>
  </si>
  <si>
    <t>Fondo de Fomento Municipal base de Distribución (3 x 100%)</t>
  </si>
  <si>
    <t>Fondo de Fiscalización y Recaudación</t>
  </si>
  <si>
    <t>Fondo de Fiscalización base 2014 (recibido y distribuido en el 2014)</t>
  </si>
  <si>
    <t>Fondo de Compensacion</t>
  </si>
  <si>
    <t xml:space="preserve">Fondo del Impuesto sobre la Renta </t>
  </si>
  <si>
    <t>Fondo de Impuesto sobre la renta 2014 (recibido y distribuido en el 2014)</t>
  </si>
  <si>
    <t>Impuesto especial sobre producción y servicios (Tabaco y Alcohol)</t>
  </si>
  <si>
    <t>Impuesto Especial s/Produccion y Servicios base (2014 (recibido y distribuido en el 2014)</t>
  </si>
  <si>
    <t>Impuesto especial sobre producción y servicios por Gasolina y Diesel</t>
  </si>
  <si>
    <t>Impuesto sobre Automoviles Nuevos ISAN</t>
  </si>
  <si>
    <t>Fondo de Compensacion sobre el ISAN</t>
  </si>
  <si>
    <r>
      <rPr>
        <b/>
        <sz val="11"/>
        <color theme="1"/>
        <rFont val="Arial"/>
        <family val="2"/>
      </rPr>
      <t>Población:</t>
    </r>
    <r>
      <rPr>
        <sz val="11"/>
        <color theme="1"/>
        <rFont val="Arial"/>
        <family val="2"/>
      </rPr>
      <t xml:space="preserve"> Censo Nacional de Población y Vivienda 2010 de INEGI</t>
    </r>
  </si>
  <si>
    <t>2017/2016</t>
  </si>
  <si>
    <t>Estimado en 2014</t>
  </si>
  <si>
    <t>(9)(8/7)</t>
  </si>
  <si>
    <t>Variación</t>
  </si>
  <si>
    <t>Coeficiente de Participación Relativa</t>
  </si>
  <si>
    <t xml:space="preserve">Efectivo </t>
  </si>
  <si>
    <t>Coeficiente  Resarcitorio Efectivo       10%</t>
  </si>
  <si>
    <t>Habitantes</t>
  </si>
  <si>
    <t>x Población</t>
  </si>
  <si>
    <t>Predial y Agua</t>
  </si>
  <si>
    <t>Distribución x</t>
  </si>
  <si>
    <t>31</t>
  </si>
  <si>
    <t>15</t>
  </si>
  <si>
    <t>16</t>
  </si>
  <si>
    <t>14</t>
  </si>
  <si>
    <t>Cuadro No. 2</t>
  </si>
  <si>
    <t>Cálculo del Coeficiente de Participación Segunda Parte del Fondo General de Participaciones (30%)</t>
  </si>
  <si>
    <t>2016/2017</t>
  </si>
  <si>
    <t>(2=(1/∑1)100)</t>
  </si>
  <si>
    <t>(3=(30%*2)</t>
  </si>
  <si>
    <t>Cuadro No. 3</t>
  </si>
  <si>
    <t>Cálculo del Coeficiente de Participación Tercera Parte del Fondo General de Participaciones (10%)</t>
  </si>
  <si>
    <t>Coeficiente No. 1</t>
  </si>
  <si>
    <t>Coeficiente No. 2</t>
  </si>
  <si>
    <t>Suma de</t>
  </si>
  <si>
    <t>Asignaciones</t>
  </si>
  <si>
    <t>que</t>
  </si>
  <si>
    <t>de Participacion</t>
  </si>
  <si>
    <t xml:space="preserve">Distribucion </t>
  </si>
  <si>
    <t xml:space="preserve">Asignación </t>
  </si>
  <si>
    <t>Asignacion</t>
  </si>
  <si>
    <t>Representan</t>
  </si>
  <si>
    <t>F.G.P.</t>
  </si>
  <si>
    <t xml:space="preserve">(1) </t>
  </si>
  <si>
    <r>
      <rPr>
        <b/>
        <sz val="11"/>
        <color theme="1"/>
        <rFont val="Arial"/>
        <family val="2"/>
      </rPr>
      <t>Recaudacion:</t>
    </r>
    <r>
      <rPr>
        <sz val="11"/>
        <color theme="1"/>
        <rFont val="Arial"/>
        <family val="2"/>
      </rPr>
      <t xml:space="preserve"> Indetec</t>
    </r>
  </si>
  <si>
    <t>Población: Censo Nacional de Población y Vivienda 2010 de INEGI</t>
  </si>
  <si>
    <t>Cuadro para estimar la distribucion inversa en $</t>
  </si>
  <si>
    <t>Municipio</t>
  </si>
  <si>
    <t>Inversa</t>
  </si>
  <si>
    <t>Directa</t>
  </si>
  <si>
    <t>F.G.P. a Mpios</t>
  </si>
  <si>
    <t>Distribución  del C1</t>
  </si>
  <si>
    <t>Distribución  del C2</t>
  </si>
  <si>
    <t>Distribución  del C3</t>
  </si>
  <si>
    <t xml:space="preserve">Distribución Total </t>
  </si>
  <si>
    <t>Factor de Distribución 2014</t>
  </si>
  <si>
    <t>Distribución Total del IEPS a Municipios</t>
  </si>
  <si>
    <t>Coeficiente de Participación</t>
  </si>
  <si>
    <t xml:space="preserve">Suma de Asignaciones </t>
  </si>
  <si>
    <t>(12)</t>
  </si>
  <si>
    <t>Correspondiente al 30% del Crecimiento</t>
  </si>
  <si>
    <t>(13)</t>
  </si>
  <si>
    <t>(14)</t>
  </si>
  <si>
    <t>Porcentaje que Representa los Coeficiente C1 Y C2</t>
  </si>
  <si>
    <t>(15)</t>
  </si>
  <si>
    <t>Inversa Proporcional</t>
  </si>
  <si>
    <t>Porcentaje que Representa la Inversa Proporcional</t>
  </si>
  <si>
    <t>(16)</t>
  </si>
  <si>
    <t>(18)</t>
  </si>
  <si>
    <t>Correspondiente al 10% del Crecimiento</t>
  </si>
  <si>
    <t>Recaudación del Impuesto Predial y Derechos de Suministro de Agua</t>
  </si>
  <si>
    <t xml:space="preserve">Total             </t>
  </si>
  <si>
    <t>(19)</t>
  </si>
  <si>
    <t xml:space="preserve">Recaudación Predial </t>
  </si>
  <si>
    <t>Predial</t>
  </si>
  <si>
    <t>Recaudación Predial y Agua Último Ejercicio</t>
  </si>
  <si>
    <t>Resultado Variación por Población</t>
  </si>
  <si>
    <t>Distribución Total de FOFIR entre Municipios</t>
  </si>
  <si>
    <t>Esfuerzo Recaudatorio Último Ejercicio</t>
  </si>
  <si>
    <t>Distribuido en 2014</t>
  </si>
  <si>
    <t>Información Utilizada para la Determinación de los Porcentajes de Distribución de Participaciones</t>
  </si>
  <si>
    <t>Recaudación Predial y Agua ($)</t>
  </si>
  <si>
    <t>Agua</t>
  </si>
  <si>
    <t>Fondo General de Participaciones</t>
  </si>
  <si>
    <t>Coeficiente Efectivo</t>
  </si>
  <si>
    <t>Importe</t>
  </si>
  <si>
    <t>Componente solo para los que Suscribieron Convenio para el Cobro de Predial</t>
  </si>
  <si>
    <t>Estimación del Fondo de Compensación del Impuesto Sobre Automóviles Nuevos</t>
  </si>
  <si>
    <t>Estimación de los Incentivos por el Impuesto Sobre Automóviles Nuevos</t>
  </si>
  <si>
    <t>(Pesos)</t>
  </si>
  <si>
    <t>GOBIERNO DEL ESTADO DE NAYARIT</t>
  </si>
  <si>
    <t>SECRETARIA DE ADMINISTRACION Y FINANZAS</t>
  </si>
  <si>
    <t>DIRECCION GENERAL DE PARTICIPACIONES FEDERALES</t>
  </si>
  <si>
    <t>DISTRIBUCIÓN A MUNICIPIOS  I.E.P.S. PARA EL EJERCICIO  2014</t>
  </si>
  <si>
    <t>FACTOR DE DISTRIB.</t>
  </si>
  <si>
    <t>ACAPONETA</t>
  </si>
  <si>
    <t xml:space="preserve">BAHIA DE </t>
  </si>
  <si>
    <t>EL NAYAR</t>
  </si>
  <si>
    <t>SAN PEDRO LAGS</t>
  </si>
  <si>
    <t>SANTA MA DEL ORO</t>
  </si>
  <si>
    <t>SANTIAGO</t>
  </si>
  <si>
    <t>T  O  T  A  L</t>
  </si>
  <si>
    <t xml:space="preserve">Las cifras parciales pueden no coincidir con el total debido al redondeo </t>
  </si>
  <si>
    <t>FUENTE:</t>
  </si>
  <si>
    <t>Monto estimado conforme a Ley de Ingresos del estado Libre y Soberano de Nayarit Publicada y Distribuida conforme al Decreto que determinan los factores de Distribucón de las Participaciones y Aportaciones que en Ingresos Federales corresponden a los Municipios de la Entidad para el Ejercicio del año 2014. Publicado el 13 de Diciembre de 2013</t>
  </si>
  <si>
    <t>Factor de Distribución</t>
  </si>
  <si>
    <t>FFM Estimado</t>
  </si>
  <si>
    <t>FUNTES:</t>
  </si>
  <si>
    <t>Las cifras parciales pueden no coincidir con el total debido al redondeo.</t>
  </si>
  <si>
    <t xml:space="preserve">PREDIAL Y AGUA.-Cifras validadas de acuerdo con las reglas 17 al 20 de las reglas de validación de la información para el Cálculo de los Coeficientes de Distribución de las Participaciones Federales con base en el artículo 2 de la Ley de Coordinación Fiscal </t>
  </si>
  <si>
    <r>
      <rPr>
        <b/>
        <i/>
        <sz val="9"/>
        <color theme="1"/>
        <rFont val="Arial"/>
        <family val="2"/>
      </rPr>
      <t>ESTIMACION 2014.-</t>
    </r>
    <r>
      <rPr>
        <i/>
        <sz val="9"/>
        <color theme="1"/>
        <rFont val="Arial"/>
        <family val="2"/>
      </rPr>
      <t xml:space="preserve">  ACUERDO POR EL QUE SE DA A CONOCER EL CALENDARIO DE ENTREGA, PORCENTAJE Y MONTOS ESTIMADOS, QUE RECIBIRAN CADA UNO DE LOS VEINTE MUNICIPIOS DEL ESTADO DE NAYARIT, DEL FONDO GENERAL DE PARTICIPACIONES Y DEL FONDO DE FOMENTO MUNICIPAL PARA EL EJERCICIO FISCAL 2014 PUBLICADO EL 14 DE FEBRERO DE 2014.</t>
    </r>
  </si>
  <si>
    <r>
      <rPr>
        <b/>
        <i/>
        <sz val="9"/>
        <color theme="1"/>
        <rFont val="Arial"/>
        <family val="2"/>
      </rPr>
      <t>PREDIAL Y AGUA.-</t>
    </r>
    <r>
      <rPr>
        <i/>
        <sz val="9"/>
        <color theme="1"/>
        <rFont val="Arial"/>
        <family val="2"/>
      </rPr>
      <t xml:space="preserve"> Cifras validadas de acuerdo con las reglas 17 al 20 de las reglas de validación de la información para el Cálculo de los Coeficientes de Distribución de las Participaciones Federales con base en el artículo 2 de la Ley de Coordinación Fiscal </t>
    </r>
  </si>
  <si>
    <t>(5=2+4)</t>
  </si>
  <si>
    <t>(6= 2+5)</t>
  </si>
  <si>
    <t>(6=5*.10)</t>
  </si>
  <si>
    <t>(8=2+4+7)</t>
  </si>
  <si>
    <t>Participaciones Específicas en el Impuesto Especial Sobre Producción y Servicios</t>
  </si>
  <si>
    <t>Participaciones a la Venta Final de Gasolinas y Diésel</t>
  </si>
  <si>
    <t>SUMA DE COEFICIENTES  EFECTIVOS  PARA 2020</t>
  </si>
  <si>
    <t>FACTOR DE DISTRIBUCION 2014</t>
  </si>
  <si>
    <t>DISTRIBUIDO EN 2014</t>
  </si>
  <si>
    <t>COMPONENTE DEL 70%</t>
  </si>
  <si>
    <t>COMPONENTE DEL 30%</t>
  </si>
  <si>
    <t>COEFICIENTE EFECTIVO DE PARTICIPACION</t>
  </si>
  <si>
    <t xml:space="preserve">FACTOR DE POBLACION FACTOR DIRECTO </t>
  </si>
  <si>
    <t>COEFICIENTE EFECTIVO POR POBLACION</t>
  </si>
  <si>
    <t>FACTOR INVERSO A LA POBLACION</t>
  </si>
  <si>
    <t>PORCENTAJE INVERSO</t>
  </si>
  <si>
    <t>COEFICIENTE EFECTIVO INVERSO A POBLACION (30%)</t>
  </si>
  <si>
    <t>DE</t>
  </si>
  <si>
    <t>FOCO</t>
  </si>
  <si>
    <t>A PARTICIPAR</t>
  </si>
  <si>
    <t>(4= 1*.70)</t>
  </si>
  <si>
    <t>(5 = Inv de 1)</t>
  </si>
  <si>
    <t>(6=5/∑5)100</t>
  </si>
  <si>
    <t>(7=6*.30)</t>
  </si>
  <si>
    <t>(8= 4+7)</t>
  </si>
  <si>
    <t>(10=(2+9)</t>
  </si>
  <si>
    <t>Las cifras parciales pueden no coincidir con el total debido al redondeo</t>
  </si>
  <si>
    <t>FUENTES:</t>
  </si>
  <si>
    <r>
      <t>PREDIAL Y AGUA.-</t>
    </r>
    <r>
      <rPr>
        <sz val="11"/>
        <color theme="1"/>
        <rFont val="Calibri"/>
        <family val="2"/>
        <scheme val="minor"/>
      </rPr>
      <t xml:space="preserve">Cifras validadas de acuerdo con las reglas 17 al 20 de las reglas de validacion de la información para el cálculo de los Coeficientes de Distribución de las Participaciones Federales con base en el artículo 2 de la Ley de Coordinación Fiscal </t>
    </r>
  </si>
  <si>
    <t>CRECIMIENTO DEL FOCO 2020</t>
  </si>
  <si>
    <t>Suma (10.1 + 10.2) = (10)</t>
  </si>
  <si>
    <t>ESTIMACION 2014: Acuerdo por el que se da a conocer el porcentaje y montos estimados, que recibirán cada uno de los veinte Municipios del Estado de Nayarit del Fondo de Fiscalización, Fondo de Compensación e Incentivo por Venta de Gasolina y Diesel, para el Ejercicio Fiscal 2014 publicado el 19 de marzo de 2014.</t>
  </si>
  <si>
    <t>ANEXO I</t>
  </si>
  <si>
    <t>MES</t>
  </si>
  <si>
    <t>FONDO DE FOMENTO MUNICIPAL</t>
  </si>
  <si>
    <t>FECHA LIMITE DE ENTREGA</t>
  </si>
  <si>
    <t>7</t>
  </si>
  <si>
    <t>5</t>
  </si>
  <si>
    <t>6</t>
  </si>
  <si>
    <t>4</t>
  </si>
  <si>
    <t>29</t>
  </si>
  <si>
    <t>1</t>
  </si>
  <si>
    <t>30</t>
  </si>
  <si>
    <t>IMPUESTO ESPECIAL SOBRE PRODUCCION Y SERVICIOS</t>
  </si>
  <si>
    <t>FONDO DE FISCALIZACION Y RECAUDACION</t>
  </si>
  <si>
    <t>FONDO DE COMPENSACIÓN DEL IMPUESTO SOBRE AUTOMOVILES NUEVOS</t>
  </si>
  <si>
    <t>DISTRIBUCIÓN A MUNICIPIOS POR PARTICIPACION FEDERAL DEL FONDO DE COMPENSACION DE ISAN EJERCICIO 2020</t>
  </si>
  <si>
    <t>AYUNTAMIENTO</t>
  </si>
  <si>
    <t>A MUNICIPIOS</t>
  </si>
  <si>
    <t>MUNICIPIOS</t>
  </si>
  <si>
    <t>PARTICIPACION 2017</t>
  </si>
  <si>
    <t>INCREMENTO</t>
  </si>
  <si>
    <t xml:space="preserve">MUNICIPIO </t>
  </si>
  <si>
    <t>DISTRIBUCIÓN A MUNICIPIOS POR PARTICIPACION FEDERAL DEL FONDO DE COMPENSACION EJERCICIO 2014</t>
  </si>
  <si>
    <t>FACTOR DE DISTRIB. 2020</t>
  </si>
  <si>
    <t>DISTRIBUCIÓN A MUNICIPIOS POR PARTICIPACION FEDERAL DEL FONDO DE FISCALIZACION INCRMENTO</t>
  </si>
  <si>
    <t>DISTRIBUCIÓN A MUNICIPIOS POR PARTICIPACION FEDERAL DEL FONDO DE FISCALIZACION EJERCICIO 2014</t>
  </si>
  <si>
    <t>PARTICIPACION A MUNICIPIOS</t>
  </si>
  <si>
    <t>DISTRIBUCIÓN A MUNICIPIOS  INCENTIVO POR VENTA DE GASOLINA Y DIESEL 2014</t>
  </si>
  <si>
    <t>PARTICIPACION AMPIO</t>
  </si>
  <si>
    <t>DISTRIBUCIÓN A MUNICIPIOS  I.E.P.S. 2014</t>
  </si>
  <si>
    <t>DISTRIBUCIÓN A MUNICIPIOS POR PARTICIPACION FEDERAL DEL FONDO DE FOMENTO MUNICIPAL EJERCICIO 2014</t>
  </si>
  <si>
    <t>ESTIMACION</t>
  </si>
  <si>
    <t>FACTOR DE DISTRIB. 70%</t>
  </si>
  <si>
    <t xml:space="preserve">DISTRIBUCIÓN A MUNICIPIOS POR PARTICIPACION FEDERAL DEL FONDO GENERAL DE PARTICIPACIONES POR INCREMENTO </t>
  </si>
  <si>
    <t>PARTICIPACION MUNICIPIOS</t>
  </si>
  <si>
    <t>ESTIMACIONES 2014</t>
  </si>
  <si>
    <t>DISTRIBUCIÓN A MUNICIPIOS POR PARTICIPACION FEDERAL DEL FONDO GENERAL DE PARTICIPACIONES EJERCICIO 2014</t>
  </si>
  <si>
    <t xml:space="preserve"> </t>
  </si>
  <si>
    <t>Población                                2020</t>
  </si>
  <si>
    <t>Censo  de Población y Vivienda  2020</t>
  </si>
  <si>
    <t>Censo de Población y Vivienda 2020 Publicada en el Portal del INEGI 25 de Enero del 2021</t>
  </si>
  <si>
    <t>Censo 2020</t>
  </si>
  <si>
    <t>Población 2020</t>
  </si>
  <si>
    <t>3</t>
  </si>
  <si>
    <t>ISR BIENES INMUEBLES</t>
  </si>
  <si>
    <t>IMPUESTO SOBRE LA RENTA</t>
  </si>
  <si>
    <t>IMPUESTO SOBRE AUTOMOVILES NUEVOS</t>
  </si>
  <si>
    <r>
      <rPr>
        <b/>
        <i/>
        <sz val="9"/>
        <color theme="1"/>
        <rFont val="Arial"/>
        <family val="2"/>
      </rPr>
      <t xml:space="preserve"> POBLACION.-</t>
    </r>
    <r>
      <rPr>
        <i/>
        <sz val="9"/>
        <color theme="1"/>
        <rFont val="Arial"/>
        <family val="2"/>
      </rPr>
      <t xml:space="preserve"> Censo de Población y Vivienda 2020. publicado el 25 de enero de 2021 en el Portal del INEGI </t>
    </r>
  </si>
  <si>
    <r>
      <rPr>
        <b/>
        <sz val="9"/>
        <color theme="1"/>
        <rFont val="Arial"/>
        <family val="2"/>
      </rPr>
      <t>ESTIMACION 2014.-</t>
    </r>
    <r>
      <rPr>
        <sz val="9"/>
        <color theme="1"/>
        <rFont val="Arial"/>
        <family val="2"/>
      </rPr>
      <t xml:space="preserve">  ACUERDO POR EL QUE SE DA A CONOCER EL CALENDARIO DE ENTREGA, PORCENTAJE Y MONTOS ESTIMADOS, QUE RECIBIRAN CADA UNO DE LOS VEINTE MUNICIPIOS DEL ESTADO DE NAYARIT, DEL FONDO GENERAL DE PARTICIPACIONES Y DEL FONDO DE FOMENTO MUNICIPAL PARA EL EJERCICIO FISCAL 2014 PUBLICADO EL 14 DE FEBRERO DE 2014.</t>
    </r>
  </si>
  <si>
    <r>
      <rPr>
        <b/>
        <sz val="9"/>
        <color theme="1"/>
        <rFont val="Arial"/>
        <family val="2"/>
      </rPr>
      <t>PREDIAL Y AGUA.-</t>
    </r>
    <r>
      <rPr>
        <sz val="9"/>
        <color theme="1"/>
        <rFont val="Arial"/>
        <family val="2"/>
      </rPr>
      <t xml:space="preserve"> Cifras validadas de acuerdo con las reglas 17 al 20 de las reglas de validación de la información para el Cálculo de los Coeficientes de Distribución de las Participaciones Federales con base en el artículo 2 de la Ley de Coordinación Fiscal </t>
    </r>
  </si>
  <si>
    <r>
      <rPr>
        <b/>
        <sz val="9"/>
        <color theme="1"/>
        <rFont val="Arial"/>
        <family val="2"/>
      </rPr>
      <t>POBLACION.-</t>
    </r>
    <r>
      <rPr>
        <sz val="9"/>
        <color theme="1"/>
        <rFont val="Arial"/>
        <family val="2"/>
      </rPr>
      <t xml:space="preserve"> Censo de Población y Vivienda 2020. publicado el 25 de enero de 2021 en el Portal del INEGI </t>
    </r>
  </si>
  <si>
    <r>
      <t xml:space="preserve"> </t>
    </r>
    <r>
      <rPr>
        <i/>
        <sz val="11"/>
        <color theme="1"/>
        <rFont val="Calibri"/>
        <family val="2"/>
        <scheme val="minor"/>
      </rPr>
      <t xml:space="preserve">POBLACION.- Censo de Población y Vivienda 2020. publicado el 25 de enero de 2021 en el Portal del INEGI </t>
    </r>
    <r>
      <rPr>
        <sz val="11"/>
        <color theme="1"/>
        <rFont val="Calibri"/>
        <family val="2"/>
        <scheme val="minor"/>
      </rPr>
      <t xml:space="preserve"> </t>
    </r>
  </si>
  <si>
    <t xml:space="preserve">POBLACION.- Censo de Población y Vivienda 2020. publicado el 25 de enero de 2021 en el Portal del INEGI </t>
  </si>
  <si>
    <r>
      <t xml:space="preserve">POBLACION.- </t>
    </r>
    <r>
      <rPr>
        <i/>
        <sz val="9"/>
        <color theme="1"/>
        <rFont val="Arial"/>
        <family val="2"/>
      </rPr>
      <t>Censo de Población y Vivienda 2020. publicado el 25 de enero de 2021 en el Portal del INEGI</t>
    </r>
    <r>
      <rPr>
        <b/>
        <i/>
        <sz val="9"/>
        <color theme="1"/>
        <rFont val="Arial"/>
        <family val="2"/>
      </rPr>
      <t xml:space="preserve"> </t>
    </r>
  </si>
  <si>
    <t>Calendarización del Calculo de distribución  de la estimación  del Fondo General de Participaciones de 2020</t>
  </si>
  <si>
    <t>Calendarización del Calculo de distribución  de la estimación del Fondo de Fomento Municipal de 2020</t>
  </si>
  <si>
    <t>Calendarización del Calculo de distribución de la estimación del Fondo de Compensación a los Municipios de 2020</t>
  </si>
  <si>
    <t>Calendarización del Calculo de distribución de la estimación de Nuevas Potestades (Gasolinas y Diesel) 2020</t>
  </si>
  <si>
    <t xml:space="preserve">Calendarización del Calculo de distribución de la estimación del Fondo de Fiscalización y Recaudación de 2020 </t>
  </si>
  <si>
    <t>Calendarizacion del Calculo de distribución de la estimación de los Incentivos por el Impuesto Sobre Automóviles Nuevos de 2020</t>
  </si>
  <si>
    <t>RAMO GENERAL 28: PARTICIPACIONES A ENTIDADES FEDERATIVAS Y MUNICIPIOS</t>
  </si>
  <si>
    <t>ANUAL</t>
  </si>
  <si>
    <t>GARANTIZADA 2014</t>
  </si>
  <si>
    <t>EXCEDENTE</t>
  </si>
  <si>
    <t>DOF-18/12/2015</t>
  </si>
  <si>
    <t>IMPUESTO PREDIAL URBANO, IMPUESTO PREDIAL RUSTICO E IMPUESTO SOBRE ADQUISICION DE BIENES INMUEBLES. (SE PARTICIPA EL 100%)</t>
  </si>
  <si>
    <t>SUMA TOTAL</t>
  </si>
  <si>
    <t>TOTAL GENENRAL RECIBIDO</t>
  </si>
  <si>
    <t>TOTAL GENERAL DISTRIBUIDO</t>
  </si>
  <si>
    <t>FACTOR DE DISTRIB. 2021</t>
  </si>
  <si>
    <t>Ejercicio:                                       2022</t>
  </si>
  <si>
    <t>Fondo General de Participaciones recibido en la Entidad 2022 (determinado por Hacienda)</t>
  </si>
  <si>
    <t>Fondo General de Participaciones crecimiento 2022 (3-4)</t>
  </si>
  <si>
    <t>5.1 Primera parte 60% del crecimiento 2022</t>
  </si>
  <si>
    <t>5.2 Segunda parte 30% del crecimiento 2022</t>
  </si>
  <si>
    <t>5.3 Tercera parte 10% del crecimiento 2022</t>
  </si>
  <si>
    <t>Total Fondo General de Participaciones a distribuir en 2022 (3 + 4)</t>
  </si>
  <si>
    <t>Fondo de Fomento Municipal recibido en la Entidad 2022 (determinado por Hacienda)</t>
  </si>
  <si>
    <t>Crecimiento del Fondo de Fomento Municipal 2022 (1-2)</t>
  </si>
  <si>
    <t>10.1 Primera parte 70% del crecimiento 2022</t>
  </si>
  <si>
    <t>10.2 Segunda parte 30% del crecimiento 2022</t>
  </si>
  <si>
    <t>Total Fondo  de Fomento  Municipal a distribuir en 2022 (8 + 9)</t>
  </si>
  <si>
    <t>Fondo de Fiscalizacion recibido en la Entidad 2022 (determinado por Hacienda)</t>
  </si>
  <si>
    <t>Crecimiento del Fondo de Fiscalizacion en 2022 (9-10)</t>
  </si>
  <si>
    <t>Fondo de Compensacion recibido en la Entidad 2022 (determinado por Hacienda)</t>
  </si>
  <si>
    <t>Crecimiento del Fondo de Compensación en 2022 (12-13)</t>
  </si>
  <si>
    <t>Fondo de Impuesto sobre la renta recibido en la Entidad 2022 (determinado por Hacienda)</t>
  </si>
  <si>
    <t>Crecimiento del Fondo de ISR 2022 (15-16)</t>
  </si>
  <si>
    <t>Impuesto Especial s/Producción y Servicios  recibido en la Entidad 2022 (determinado por Hacienda)</t>
  </si>
  <si>
    <t>Crecimiento del Impuesto Especial s/Producción y Servicios en 2022 (18-19)</t>
  </si>
  <si>
    <t>Impuesto Especial s/Producción y Servicios  (G y D)recibido en la Entidad 2022 (determinado por Hacienda)</t>
  </si>
  <si>
    <t>Crecimiento del Impuesto Especial s/Producción y Servicios en 2022 (21-22)</t>
  </si>
  <si>
    <t>Impuesto sobre automóviles nuevos ISAN, recibido en la Entidad 2022 (determinado por Hacienda)</t>
  </si>
  <si>
    <t>Crecimiento del Impuesto sobre Automóviles Nuevos ISAN en 2022 (24-25)</t>
  </si>
  <si>
    <t>Fondo de Compensacion sobre el ISAN, recibido en la Entidad 2022 (determinado por Hacienda)</t>
  </si>
  <si>
    <t>Distribución a Municipios por Participación Federal del Fondo General de Participaciones de 2022</t>
  </si>
  <si>
    <t>Distribución a Municipios por Participación Federal del Fondo de Fomento Municipal de 2022</t>
  </si>
  <si>
    <t>Distribución a Municipios por Participacion Federal del Fondo de Fiscalización de 2022</t>
  </si>
  <si>
    <t>Distribución a Municipios por Participación Federal del Impuesto Especial Sobre Producción y Servicios de 2022</t>
  </si>
  <si>
    <t>Distribución a Municipios de los Incentivos por el Impuesto Sobre Automóviles Nuevos de 2022</t>
  </si>
  <si>
    <t>Distribución a Municipios por Participación Federal del Fondo de Compensación del  Impuesto Sobre Automóviles Nuevos de 2022</t>
  </si>
  <si>
    <t>CALENDARIO DE ENTREGA DE PARTICIPACIONES FEDERALES A LOS MUNICIPIOS CORRESPONDIENTE AL EJERCICIO FISCAL 2022</t>
  </si>
  <si>
    <t>Estimación de Participaciones Federales que Recibirán cada uno de los Veinte Municipios del Estado de Nayarit en el Ejercicio Fiscal 2022</t>
  </si>
  <si>
    <r>
      <rPr>
        <b/>
        <sz val="11"/>
        <color theme="1"/>
        <rFont val="Arial"/>
        <family val="2"/>
      </rPr>
      <t>Población:</t>
    </r>
    <r>
      <rPr>
        <sz val="11"/>
        <color theme="1"/>
        <rFont val="Arial"/>
        <family val="2"/>
      </rPr>
      <t xml:space="preserve"> Censo Nacional de Población y Vivienda 2020 de INEGI</t>
    </r>
  </si>
  <si>
    <t>CORRESPONDIENTE AL 60% DEL CRECIMIENTO</t>
  </si>
  <si>
    <t xml:space="preserve">Coeficiente de Partición </t>
  </si>
  <si>
    <t>CORRESPONDIENTE AL 30% DEL CRECIMIENTO</t>
  </si>
  <si>
    <t>Porcentaje que representa los coeficiente C1 Y C2</t>
  </si>
  <si>
    <t>Porcentaje que representa la inversa proporcional         (16)</t>
  </si>
  <si>
    <t>CORRESPONDIENTE AL 10% DEL CRECIMIENTO</t>
  </si>
  <si>
    <t>(19)=(2+6+12+18)</t>
  </si>
  <si>
    <t>Las cifras pueden no coincidir por el redondeo</t>
  </si>
  <si>
    <r>
      <t>POBLACIÓN</t>
    </r>
    <r>
      <rPr>
        <sz val="11"/>
        <color theme="1"/>
        <rFont val="Calibri"/>
        <family val="2"/>
        <scheme val="minor"/>
      </rPr>
      <t xml:space="preserve">.- Censo de Población y Vivienda 2020. publicado el 25 de enero de 2021 en el Portal del INEGI </t>
    </r>
  </si>
  <si>
    <r>
      <t>PREDIAL Y AGUA.-</t>
    </r>
    <r>
      <rPr>
        <sz val="11"/>
        <color theme="1"/>
        <rFont val="Calibri"/>
        <family val="2"/>
        <scheme val="minor"/>
      </rPr>
      <t xml:space="preserve">Cifras validadas de acuerdo con las reglas 17 al 20 de las reglas de validacion de la información para el cálculo de los coeficientes de Distribución de las Participaciones Federales con base en el articulo 2 de la Ley de Coordinación Fiscal </t>
    </r>
  </si>
  <si>
    <t>ISR Enajenación de Bienes FEBRERO</t>
  </si>
  <si>
    <t>Fondo General de Participaciones recibido en la Entidad  2021</t>
  </si>
  <si>
    <t>Fondo General de Participaciones base Septiembre 2014 (recibido y distribuido en el 2014)</t>
  </si>
  <si>
    <t>Fondo General de Participaciones crecimiento 2021 (3-4)</t>
  </si>
  <si>
    <t>6.1 Primera parte 60% del crecimiento 2021</t>
  </si>
  <si>
    <t>6.2 Segunda parte 30% del crecimiento 2021</t>
  </si>
  <si>
    <t>6.3 Tercera parte 10% del crecimiento 2021</t>
  </si>
  <si>
    <t>Suma (6.1 + 6.2 + 6.3) = (3)</t>
  </si>
  <si>
    <t>Total Fondo General de Participaciones a distribuir en 2021 (3 + 4)</t>
  </si>
  <si>
    <t>Cálculo de la Distribución de ISR Enajenación de Bienes de 2022</t>
  </si>
  <si>
    <t>Cálculo de distribución  de la estimación  del Fondo General de Participaciones de 2022</t>
  </si>
  <si>
    <t>Cálculo de distribución  de la estimación del Fondo de Fomento Municipal de 2022</t>
  </si>
  <si>
    <t>Cálculo de distribución de la estimación del Fondo de Fiscalización y Recaudación de 2022</t>
  </si>
  <si>
    <t>Cálculo de distribución  de la estimación del Impuesto Especial Sobre Producción y Servicios de 2022</t>
  </si>
  <si>
    <t>Cálculo de distribución del Impuesto Especial Sobre Producción y Servicios IEPS Gasolina y Diesel de 2022</t>
  </si>
  <si>
    <t>Cálculo de distribución de la estimación de los Incentivos por el Impuesto Sobre Automóviles Nuevos de 2022</t>
  </si>
  <si>
    <t>Cálculo de distribución de la estimación del Fondo de Compensación del  Impuesto Sobre Automóviles Nuevos de 2022</t>
  </si>
  <si>
    <t>Total Fondo de Fondo de Fomento Municipal 2022</t>
  </si>
  <si>
    <t>Factor de Distribución 2022</t>
  </si>
  <si>
    <t>Crecimiento del IEPS  en 2022</t>
  </si>
  <si>
    <t>Crecimiento en el Impuesto para 2022</t>
  </si>
  <si>
    <t>Distribución para el 2022</t>
  </si>
  <si>
    <t>Distribución correspondiente a septiembre 2022</t>
  </si>
  <si>
    <t xml:space="preserve"> FONDO GENERAL DE PARTICIPACIONES 2022</t>
  </si>
  <si>
    <t xml:space="preserve"> FONDO DE FOMENTO MUNICIPAL 2022</t>
  </si>
  <si>
    <t>PARTICIPACIONES ESPECIFICAS EN EL IMPUESTO  ESPECIAL SOBRE PRODUCCION Y SERVICIOS 2022</t>
  </si>
  <si>
    <t>POR VENTA  DE GASOLINA Y DIESEL 2022</t>
  </si>
  <si>
    <t xml:space="preserve"> FONDO DE FISCALIZACION Y RECAUDACION 2022</t>
  </si>
  <si>
    <t xml:space="preserve"> FONDO DE COMPENSACION 2022</t>
  </si>
  <si>
    <t>INCENTIVOS POR EL IMPUESTO SOBRE AUTOMOVILES NUEVOS 2022</t>
  </si>
  <si>
    <t>FONDO DE COMPENSACION DE ISAN 2022</t>
  </si>
  <si>
    <t>INCENTIVOS POR EL IMPUESTO SOBRE AUTOMOVILES NUEVOS  2022 (INCLUYE FONDO DE COMPENSACION DE ISAN)</t>
  </si>
  <si>
    <t>PARTICIPACION DEL 100% DE LA RECAUDACION ISR 2022</t>
  </si>
  <si>
    <t>FONDO DE COMPENSACION DE REPECOS E INTERMEDIOS 2022</t>
  </si>
  <si>
    <t>OTROS INCENTIVOS DE 2022 DERIVADOS DE LOS CONVENIOS DE COLABORACION ADMINISTRATIVA EN MATERIA FISCAL FEDERAL</t>
  </si>
  <si>
    <t>TENENCIA ESTATAL 2022</t>
  </si>
  <si>
    <t>INGRESOS MUNICIPAES COORDINADOS 2022</t>
  </si>
  <si>
    <t>FONDO DE APORTACIONES PARA LA INFRAESTRUCTUTA SOCIAL MUNICIPAL (FAIS) 2022</t>
  </si>
  <si>
    <t>Completo</t>
  </si>
  <si>
    <t>FONDO DE APORTACIONES PARA EL FORTALECIMIENTO DE LOS MUNICIPIOS (FORTAMUN) 2022</t>
  </si>
  <si>
    <t>(INCREMENTO 2022)</t>
  </si>
  <si>
    <t>Calendarización del Calculo de distribución  de la estimación del Impuesto Especial Sobre Producción y Servicios de 2022</t>
  </si>
  <si>
    <t>DISTRIBUCION DE PARTICIPACIONES DEL IMPUESTO SOBRE LA RENTA EJERCICIO 2021</t>
  </si>
  <si>
    <t>No.</t>
  </si>
  <si>
    <t>FACTOR</t>
  </si>
  <si>
    <t xml:space="preserve">DE </t>
  </si>
  <si>
    <t>REC</t>
  </si>
  <si>
    <t>BAHIA DE BANDERAS</t>
  </si>
  <si>
    <t>SAN PEDRO LAGUINILLAS</t>
  </si>
  <si>
    <t>SANTA MARIA DEL ORO</t>
  </si>
  <si>
    <t>DISTRIBUCION DE PARTICIPACIONES DEL ISR DE ENAJENACION DE BIENES 2021</t>
  </si>
  <si>
    <t>ISR A CARGO POR AVANCE DEL POA DE METODOS SUSTANTIVOS ANUAL DE 2020</t>
  </si>
  <si>
    <t>ISR ENAJENACION DE BIENES INMUEBLES</t>
  </si>
  <si>
    <t>ISR ENAJ 2021</t>
  </si>
  <si>
    <t>ISR ENAJENACION 2021</t>
  </si>
  <si>
    <t>RECAUDACION MPIOS.</t>
  </si>
  <si>
    <t>DOF-20/12/2021</t>
  </si>
  <si>
    <t xml:space="preserve">  PARTICIPACIONES A LA VENTA FINAL DE GASOLINAS Y DIESEL 2022</t>
  </si>
  <si>
    <t xml:space="preserve"> FONDO DE FISCALIZACION  Y RECAUDACION 2022</t>
  </si>
  <si>
    <t>INCENTIVOS POR EL IMPUESTO SOBRE AUTOMOVILES NUEVOS  DE 2022</t>
  </si>
  <si>
    <t>FONDO DE COMPENSACION DEL IMPUESTO SOBRE AUTOMOVILES NUEVOS (ISAN) 2022</t>
  </si>
  <si>
    <t>PARTICIPACIONES POR EL 100% DE LA RECAUDACION DEL ISR QUE SE ENTERE A LA FEDERACION, POR EL SALARIO DEL PERSONAL DE LAS ENTIDADES EN 2022</t>
  </si>
  <si>
    <t>FONDO DE COMPENSACION DE REPECOS E INTERMEDIOS DE 2022</t>
  </si>
  <si>
    <t>OTROS INCENTIVOS DE 2019 DERIVADOS DE LOS CONVENIOS DE COLABORACION ADMINISTRATIVA EN MATERIA FISCAL FEDERAL 2022</t>
  </si>
  <si>
    <t>ISR ENAJENACION 2022</t>
  </si>
  <si>
    <t>Calculo de distribución de la estimación del Fondo de Compensación a los Municipios de 2022</t>
  </si>
  <si>
    <t>FACTOR DE DISTRIB. 2022</t>
  </si>
  <si>
    <t>ENERO 2023</t>
  </si>
  <si>
    <t>Distribución a Municipios por Participación Federal del ISR Enajenación de Bienes de 2022</t>
  </si>
  <si>
    <t>Distribución a Municipios por Participación Federal del Impuesto Sobre la Renta de 2022</t>
  </si>
  <si>
    <t xml:space="preserve">Distribución a Municipios por Participación Federal del Fondo de Compensación Ejercicio 2022 </t>
  </si>
  <si>
    <t>Fondo de Compensación</t>
  </si>
  <si>
    <t>ISR Enajenación de Bienes</t>
  </si>
  <si>
    <t xml:space="preserve">ISR </t>
  </si>
  <si>
    <t>SUMA DE COEFICIENTES  EFECTIVOS  PARA 2022</t>
  </si>
  <si>
    <t>NUEVAS POTESTADES (GASOLINA Y DIESEL) Y FONDO DE COMPENSACIÓN EN TANTO EL ESTADO  LO RECIBA</t>
  </si>
  <si>
    <t>Total a Distribuir por Crecimiento 2022</t>
  </si>
  <si>
    <t>Crecimiento del FOFIR 2022</t>
  </si>
  <si>
    <t>Distribución calendarizada a Municipios de Nuevas Potestades Gasolina y Diesel de 2022</t>
  </si>
  <si>
    <t>CHECAR CON LIBIA LO DE 2014</t>
  </si>
  <si>
    <t>Correspondiente al 60% del Crecimiento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</si>
</sst>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7" formatCode="&quot;$&quot;#,##0.00;\-&quot;$&quot;#,##0.00"/>
    <numFmt numFmtId="41" formatCode="_-* #,##0_-;\-* #,##0_-;_-* &quot;-&quot;_-;_-@_-"/>
    <numFmt numFmtId="44" formatCode="_-&quot;$&quot;* #,##0.00_-;\-&quot;$&quot;* #,##0.00_-;_-&quot;$&quot;* &quot;-&quot;??_-;_-@_-"/>
    <numFmt numFmtId="164" formatCode="#,##0.00_ ;\-#,##0.00\ "/>
    <numFmt numFmtId="165" formatCode="#,##0_ ;\-#,##0\ "/>
    <numFmt numFmtId="166" formatCode="0.000000"/>
    <numFmt numFmtId="167" formatCode="#,##0.000000"/>
    <numFmt numFmtId="168" formatCode="#,##0.000000_ ;\-#,##0.000000\ "/>
    <numFmt numFmtId="169" formatCode="#,##0.0000000"/>
    <numFmt numFmtId="170" formatCode="&quot;$&quot;#,##0.00"/>
    <numFmt numFmtId="171" formatCode="#,##0.000_ ;\-#,##0.000\ "/>
    <numFmt numFmtId="172" formatCode="0.0000000"/>
    <numFmt numFmtId="173" formatCode="_-&quot;$&quot;* #,##0.000_-;\-&quot;$&quot;* #,##0.000_-;_-&quot;$&quot;* &quot;-&quot;???_-;_-@_-"/>
    <numFmt numFmtId="174" formatCode="#,##0.00_ ;[Red]\-#,##0.00\ "/>
  </numFmts>
  <fonts count="51" x14ac:knownFonts="1">
    <font>
      <sz val="11"/>
      <color theme="1"/>
      <name val="Calibri"/>
      <family val="2"/>
      <scheme val="minor"/>
    </font>
    <font>
      <sz val="12"/>
      <color theme="1"/>
      <name val="Arial"/>
      <family val="2"/>
    </font>
    <font>
      <sz val="12"/>
      <color theme="1"/>
      <name val="Arial"/>
      <family val="2"/>
    </font>
    <font>
      <sz val="11"/>
      <color theme="1"/>
      <name val="Calibri"/>
      <family val="2"/>
      <scheme val="minor"/>
    </font>
    <font>
      <b/>
      <sz val="11"/>
      <color theme="1"/>
      <name val="Calibri"/>
      <family val="2"/>
      <scheme val="minor"/>
    </font>
    <font>
      <b/>
      <sz val="12"/>
      <color theme="1"/>
      <name val="Arial"/>
      <family val="2"/>
    </font>
    <font>
      <sz val="12"/>
      <color theme="1"/>
      <name val="Arial"/>
      <family val="2"/>
    </font>
    <font>
      <sz val="11"/>
      <color theme="1"/>
      <name val="Arial"/>
      <family val="2"/>
    </font>
    <font>
      <b/>
      <sz val="11"/>
      <color theme="1"/>
      <name val="Arial"/>
      <family val="2"/>
    </font>
    <font>
      <sz val="10"/>
      <color theme="1"/>
      <name val="Calibri"/>
      <family val="2"/>
      <scheme val="minor"/>
    </font>
    <font>
      <b/>
      <sz val="9"/>
      <color theme="1"/>
      <name val="Arial"/>
      <family val="2"/>
    </font>
    <font>
      <b/>
      <sz val="10"/>
      <color theme="1"/>
      <name val="Arial"/>
      <family val="2"/>
    </font>
    <font>
      <sz val="10"/>
      <color theme="1"/>
      <name val="Arial"/>
      <family val="2"/>
    </font>
    <font>
      <sz val="11"/>
      <color rgb="FF000000"/>
      <name val="Arial"/>
      <family val="2"/>
    </font>
    <font>
      <b/>
      <sz val="8"/>
      <color theme="1"/>
      <name val="Arial"/>
      <family val="2"/>
    </font>
    <font>
      <sz val="9"/>
      <color theme="1"/>
      <name val="Calibri"/>
      <family val="2"/>
      <scheme val="minor"/>
    </font>
    <font>
      <b/>
      <sz val="9"/>
      <color theme="1"/>
      <name val="Calibri"/>
      <family val="2"/>
      <scheme val="minor"/>
    </font>
    <font>
      <sz val="8"/>
      <color theme="1"/>
      <name val="Arial"/>
      <family val="2"/>
    </font>
    <font>
      <i/>
      <sz val="9"/>
      <color theme="1"/>
      <name val="Arial"/>
      <family val="2"/>
    </font>
    <font>
      <i/>
      <sz val="11"/>
      <color theme="1"/>
      <name val="Calibri"/>
      <family val="2"/>
      <scheme val="minor"/>
    </font>
    <font>
      <sz val="8"/>
      <color theme="1"/>
      <name val="Calibri"/>
      <family val="2"/>
      <scheme val="minor"/>
    </font>
    <font>
      <b/>
      <sz val="14"/>
      <color theme="1"/>
      <name val="Arial"/>
      <family val="2"/>
    </font>
    <font>
      <sz val="10"/>
      <color rgb="FF000000"/>
      <name val="Arial"/>
      <family val="2"/>
    </font>
    <font>
      <sz val="11"/>
      <name val="Arial"/>
      <family val="2"/>
    </font>
    <font>
      <sz val="11"/>
      <color rgb="FFFF0000"/>
      <name val="Calibri"/>
      <family val="2"/>
      <scheme val="minor"/>
    </font>
    <font>
      <b/>
      <sz val="11"/>
      <name val="Arial"/>
      <family val="2"/>
    </font>
    <font>
      <sz val="11"/>
      <color rgb="FFFF0000"/>
      <name val="Arial"/>
      <family val="2"/>
    </font>
    <font>
      <sz val="11"/>
      <color theme="4"/>
      <name val="Arial"/>
      <family val="2"/>
    </font>
    <font>
      <sz val="10"/>
      <name val="Arial"/>
      <family val="2"/>
    </font>
    <font>
      <b/>
      <sz val="12"/>
      <name val="Arial"/>
      <family val="2"/>
    </font>
    <font>
      <b/>
      <sz val="10"/>
      <name val="Arial"/>
      <family val="2"/>
    </font>
    <font>
      <b/>
      <sz val="9"/>
      <name val="Arial"/>
      <family val="2"/>
    </font>
    <font>
      <sz val="8"/>
      <name val="Arial"/>
      <family val="2"/>
    </font>
    <font>
      <b/>
      <sz val="8"/>
      <name val="Arial"/>
      <family val="2"/>
    </font>
    <font>
      <i/>
      <sz val="11"/>
      <color theme="1"/>
      <name val="Arial"/>
      <family val="2"/>
    </font>
    <font>
      <b/>
      <i/>
      <sz val="9"/>
      <color theme="1"/>
      <name val="Arial"/>
      <family val="2"/>
    </font>
    <font>
      <b/>
      <i/>
      <sz val="10"/>
      <color theme="1"/>
      <name val="Arial"/>
      <family val="2"/>
    </font>
    <font>
      <i/>
      <sz val="9"/>
      <color theme="1"/>
      <name val="Calibri"/>
      <family val="2"/>
      <scheme val="minor"/>
    </font>
    <font>
      <b/>
      <i/>
      <sz val="9"/>
      <color theme="1"/>
      <name val="Calibri"/>
      <family val="2"/>
      <scheme val="minor"/>
    </font>
    <font>
      <sz val="9"/>
      <color theme="1"/>
      <name val="Arial"/>
      <family val="2"/>
    </font>
    <font>
      <i/>
      <sz val="8"/>
      <name val="Arial"/>
      <family val="2"/>
    </font>
    <font>
      <i/>
      <sz val="10"/>
      <name val="Arial"/>
      <family val="2"/>
    </font>
    <font>
      <i/>
      <sz val="9"/>
      <name val="Arial"/>
      <family val="2"/>
    </font>
    <font>
      <sz val="9"/>
      <name val="Arial"/>
      <family val="2"/>
    </font>
    <font>
      <sz val="9"/>
      <color theme="3"/>
      <name val="Arial"/>
      <family val="2"/>
    </font>
    <font>
      <b/>
      <sz val="20"/>
      <color theme="0"/>
      <name val="Arial"/>
      <family val="2"/>
    </font>
    <font>
      <sz val="6"/>
      <name val="Arial"/>
      <family val="2"/>
    </font>
    <font>
      <b/>
      <sz val="12"/>
      <color theme="1"/>
      <name val="Calibri"/>
      <family val="2"/>
      <scheme val="minor"/>
    </font>
    <font>
      <b/>
      <sz val="6"/>
      <name val="Arial"/>
      <family val="2"/>
    </font>
    <font>
      <sz val="7"/>
      <name val="Arial"/>
      <family val="2"/>
    </font>
    <font>
      <b/>
      <sz val="10"/>
      <color theme="1"/>
      <name val="Calibri"/>
      <family val="2"/>
      <scheme val="minor"/>
    </font>
  </fonts>
  <fills count="18">
    <fill>
      <patternFill patternType="none"/>
    </fill>
    <fill>
      <patternFill patternType="gray125"/>
    </fill>
    <fill>
      <patternFill patternType="solid">
        <fgColor theme="3"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00B050"/>
        <bgColor indexed="64"/>
      </patternFill>
    </fill>
    <fill>
      <patternFill patternType="solid">
        <fgColor theme="6" tint="-0.249977111117893"/>
        <bgColor indexed="64"/>
      </patternFill>
    </fill>
    <fill>
      <patternFill patternType="solid">
        <fgColor rgb="FF7030A0"/>
        <bgColor indexed="64"/>
      </patternFill>
    </fill>
    <fill>
      <patternFill patternType="solid">
        <fgColor rgb="FF92D050"/>
        <bgColor indexed="64"/>
      </patternFill>
    </fill>
    <fill>
      <patternFill patternType="solid">
        <fgColor theme="4"/>
        <bgColor indexed="64"/>
      </patternFill>
    </fill>
    <fill>
      <patternFill patternType="solid">
        <fgColor rgb="FFFFFF99"/>
        <bgColor indexed="64"/>
      </patternFill>
    </fill>
    <fill>
      <patternFill patternType="solid">
        <fgColor indexed="43"/>
        <bgColor indexed="64"/>
      </patternFill>
    </fill>
    <fill>
      <patternFill patternType="solid">
        <fgColor rgb="FFFFFFFF"/>
        <bgColor indexed="6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ck">
        <color auto="1"/>
      </left>
      <right style="thick">
        <color auto="1"/>
      </right>
      <top style="thick">
        <color auto="1"/>
      </top>
      <bottom style="thick">
        <color auto="1"/>
      </bottom>
      <diagonal/>
    </border>
  </borders>
  <cellStyleXfs count="8">
    <xf numFmtId="0" fontId="0" fillId="0" borderId="0"/>
    <xf numFmtId="44" fontId="3" fillId="0" borderId="0" applyFont="0" applyFill="0" applyBorder="0" applyAlignment="0" applyProtection="0"/>
    <xf numFmtId="0" fontId="28" fillId="0" borderId="0"/>
    <xf numFmtId="0" fontId="28" fillId="0" borderId="0"/>
    <xf numFmtId="0" fontId="28" fillId="0" borderId="0"/>
    <xf numFmtId="0" fontId="1" fillId="0" borderId="0"/>
    <xf numFmtId="44" fontId="28" fillId="0" borderId="0" applyFont="0" applyFill="0" applyBorder="0" applyAlignment="0" applyProtection="0"/>
    <xf numFmtId="9" fontId="28" fillId="0" borderId="0" applyFont="0" applyFill="0" applyBorder="0" applyAlignment="0" applyProtection="0"/>
  </cellStyleXfs>
  <cellXfs count="1278">
    <xf numFmtId="0" fontId="0" fillId="0" borderId="0" xfId="0"/>
    <xf numFmtId="0" fontId="5" fillId="0" borderId="0" xfId="0" applyFont="1" applyBorder="1" applyAlignment="1"/>
    <xf numFmtId="0" fontId="6" fillId="0" borderId="0" xfId="0" applyFont="1" applyBorder="1" applyAlignment="1">
      <alignment vertical="center"/>
    </xf>
    <xf numFmtId="0" fontId="6" fillId="0" borderId="0" xfId="0" applyFont="1" applyBorder="1" applyAlignment="1">
      <alignment vertical="distributed"/>
    </xf>
    <xf numFmtId="0" fontId="6" fillId="0" borderId="0" xfId="0" applyFont="1" applyBorder="1"/>
    <xf numFmtId="0" fontId="0" fillId="0" borderId="0" xfId="0" applyFill="1"/>
    <xf numFmtId="49" fontId="6" fillId="0" borderId="0" xfId="0" applyNumberFormat="1" applyFont="1" applyBorder="1" applyAlignment="1">
      <alignment horizontal="right"/>
    </xf>
    <xf numFmtId="49" fontId="6" fillId="0" borderId="0" xfId="0" applyNumberFormat="1" applyFont="1" applyBorder="1"/>
    <xf numFmtId="0" fontId="7" fillId="0" borderId="0" xfId="0" applyFont="1"/>
    <xf numFmtId="0" fontId="0" fillId="0" borderId="0" xfId="0" applyAlignment="1">
      <alignment horizontal="center"/>
    </xf>
    <xf numFmtId="0" fontId="8" fillId="0" borderId="0" xfId="0" applyFont="1" applyAlignment="1">
      <alignment horizontal="center"/>
    </xf>
    <xf numFmtId="0" fontId="9" fillId="0" borderId="0" xfId="0" applyFont="1"/>
    <xf numFmtId="0" fontId="8" fillId="0" borderId="0" xfId="0" applyFont="1" applyAlignment="1">
      <alignment horizontal="center"/>
    </xf>
    <xf numFmtId="0" fontId="8" fillId="0" borderId="14" xfId="0" applyFont="1" applyBorder="1" applyAlignment="1">
      <alignment horizontal="center"/>
    </xf>
    <xf numFmtId="0" fontId="0" fillId="0" borderId="14" xfId="0" applyBorder="1" applyAlignment="1">
      <alignment horizontal="center"/>
    </xf>
    <xf numFmtId="0" fontId="0" fillId="0" borderId="14" xfId="0" applyBorder="1"/>
    <xf numFmtId="0" fontId="0" fillId="0" borderId="4" xfId="0" applyBorder="1"/>
    <xf numFmtId="2" fontId="8" fillId="0" borderId="4" xfId="0" applyNumberFormat="1" applyFont="1" applyBorder="1" applyAlignment="1">
      <alignment horizontal="center"/>
    </xf>
    <xf numFmtId="0" fontId="8" fillId="0" borderId="4" xfId="0" applyFont="1" applyBorder="1" applyAlignment="1">
      <alignment horizontal="center"/>
    </xf>
    <xf numFmtId="0" fontId="8" fillId="2" borderId="4" xfId="0" applyFont="1" applyFill="1" applyBorder="1" applyAlignment="1">
      <alignment horizontal="center"/>
    </xf>
    <xf numFmtId="4" fontId="8" fillId="0" borderId="4" xfId="0" applyNumberFormat="1" applyFont="1" applyBorder="1" applyAlignment="1">
      <alignment horizontal="center" vertical="center" wrapText="1"/>
    </xf>
    <xf numFmtId="0" fontId="8" fillId="0" borderId="1" xfId="0" applyFont="1" applyBorder="1" applyAlignment="1">
      <alignment horizontal="center"/>
    </xf>
    <xf numFmtId="0" fontId="8" fillId="0" borderId="8" xfId="0" applyFont="1" applyBorder="1" applyAlignment="1">
      <alignment horizontal="center"/>
    </xf>
    <xf numFmtId="0" fontId="0" fillId="0" borderId="4" xfId="0" applyBorder="1" applyAlignment="1">
      <alignment horizontal="center" vertical="center" wrapText="1"/>
    </xf>
    <xf numFmtId="49" fontId="8" fillId="0" borderId="32" xfId="0" applyNumberFormat="1" applyFont="1" applyBorder="1" applyAlignment="1">
      <alignment horizontal="center"/>
    </xf>
    <xf numFmtId="0" fontId="8" fillId="0" borderId="32" xfId="0" applyFont="1" applyBorder="1" applyAlignment="1">
      <alignment horizontal="center"/>
    </xf>
    <xf numFmtId="9" fontId="8" fillId="0" borderId="32" xfId="0" applyNumberFormat="1" applyFont="1" applyBorder="1" applyAlignment="1">
      <alignment horizontal="center"/>
    </xf>
    <xf numFmtId="9" fontId="8" fillId="2" borderId="32" xfId="0" applyNumberFormat="1" applyFont="1" applyFill="1" applyBorder="1" applyAlignment="1">
      <alignment horizontal="center"/>
    </xf>
    <xf numFmtId="0" fontId="0" fillId="0" borderId="32" xfId="0" applyBorder="1" applyAlignment="1">
      <alignment horizontal="center" vertical="center" wrapText="1"/>
    </xf>
    <xf numFmtId="0" fontId="8" fillId="0" borderId="33" xfId="0" applyFont="1" applyBorder="1" applyAlignment="1">
      <alignment horizontal="center"/>
    </xf>
    <xf numFmtId="0" fontId="7" fillId="0" borderId="41" xfId="0" applyFont="1" applyBorder="1"/>
    <xf numFmtId="164" fontId="7" fillId="0" borderId="12" xfId="1" applyNumberFormat="1" applyFont="1" applyBorder="1" applyAlignment="1">
      <alignment horizontal="center"/>
    </xf>
    <xf numFmtId="165" fontId="7" fillId="2" borderId="10" xfId="1" applyNumberFormat="1" applyFont="1" applyFill="1" applyBorder="1"/>
    <xf numFmtId="166" fontId="7" fillId="0" borderId="10" xfId="0" applyNumberFormat="1" applyFont="1" applyBorder="1"/>
    <xf numFmtId="3" fontId="7" fillId="0" borderId="10" xfId="0" applyNumberFormat="1" applyFont="1" applyBorder="1"/>
    <xf numFmtId="167" fontId="7" fillId="0" borderId="10" xfId="0" applyNumberFormat="1" applyFont="1" applyBorder="1"/>
    <xf numFmtId="165" fontId="7" fillId="2" borderId="10" xfId="0" applyNumberFormat="1" applyFont="1" applyFill="1" applyBorder="1" applyAlignment="1">
      <alignment horizontal="right"/>
    </xf>
    <xf numFmtId="165" fontId="7" fillId="0" borderId="10" xfId="0" applyNumberFormat="1" applyFont="1" applyBorder="1"/>
    <xf numFmtId="3" fontId="7" fillId="0" borderId="42" xfId="0" applyNumberFormat="1" applyFont="1" applyBorder="1"/>
    <xf numFmtId="3" fontId="9" fillId="0" borderId="44" xfId="0" applyNumberFormat="1" applyFont="1" applyBorder="1" applyAlignment="1"/>
    <xf numFmtId="167" fontId="9" fillId="0" borderId="43" xfId="0" applyNumberFormat="1" applyFont="1" applyBorder="1" applyAlignment="1"/>
    <xf numFmtId="0" fontId="0" fillId="0" borderId="0" xfId="0" applyAlignment="1"/>
    <xf numFmtId="0" fontId="7" fillId="0" borderId="45" xfId="0" applyFont="1" applyBorder="1"/>
    <xf numFmtId="164" fontId="7" fillId="0" borderId="3" xfId="1" applyNumberFormat="1" applyFont="1" applyBorder="1" applyAlignment="1">
      <alignment horizontal="center"/>
    </xf>
    <xf numFmtId="165" fontId="7" fillId="2" borderId="4" xfId="1" applyNumberFormat="1" applyFont="1" applyFill="1" applyBorder="1"/>
    <xf numFmtId="166" fontId="7" fillId="0" borderId="4" xfId="0" applyNumberFormat="1" applyFont="1" applyBorder="1"/>
    <xf numFmtId="3" fontId="13" fillId="0" borderId="4" xfId="0" applyNumberFormat="1" applyFont="1" applyBorder="1" applyAlignment="1">
      <alignment horizontal="right" vertical="center" wrapText="1"/>
    </xf>
    <xf numFmtId="167" fontId="7" fillId="0" borderId="4" xfId="0" applyNumberFormat="1" applyFont="1" applyBorder="1"/>
    <xf numFmtId="165" fontId="7" fillId="2" borderId="4" xfId="0" applyNumberFormat="1" applyFont="1" applyFill="1" applyBorder="1" applyAlignment="1">
      <alignment horizontal="right"/>
    </xf>
    <xf numFmtId="3" fontId="7" fillId="0" borderId="4" xfId="0" applyNumberFormat="1" applyFont="1" applyBorder="1"/>
    <xf numFmtId="165" fontId="7" fillId="0" borderId="4" xfId="0" applyNumberFormat="1" applyFont="1" applyBorder="1"/>
    <xf numFmtId="3" fontId="7" fillId="0" borderId="1" xfId="0" applyNumberFormat="1" applyFont="1" applyBorder="1"/>
    <xf numFmtId="0" fontId="7" fillId="0" borderId="48" xfId="0" applyFont="1" applyBorder="1"/>
    <xf numFmtId="164" fontId="7" fillId="0" borderId="7" xfId="1" applyNumberFormat="1" applyFont="1" applyBorder="1" applyAlignment="1">
      <alignment horizontal="center"/>
    </xf>
    <xf numFmtId="165" fontId="7" fillId="2" borderId="5" xfId="1" applyNumberFormat="1" applyFont="1" applyFill="1" applyBorder="1"/>
    <xf numFmtId="166" fontId="7" fillId="0" borderId="5" xfId="0" applyNumberFormat="1" applyFont="1" applyBorder="1"/>
    <xf numFmtId="3" fontId="7" fillId="0" borderId="5" xfId="0" applyNumberFormat="1" applyFont="1" applyBorder="1"/>
    <xf numFmtId="167" fontId="7" fillId="0" borderId="5" xfId="0" applyNumberFormat="1" applyFont="1" applyBorder="1"/>
    <xf numFmtId="165" fontId="7" fillId="2" borderId="5" xfId="0" applyNumberFormat="1" applyFont="1" applyFill="1" applyBorder="1" applyAlignment="1">
      <alignment horizontal="right"/>
    </xf>
    <xf numFmtId="165" fontId="7" fillId="0" borderId="5" xfId="0" applyNumberFormat="1" applyFont="1" applyBorder="1"/>
    <xf numFmtId="3" fontId="7" fillId="0" borderId="26" xfId="0" applyNumberFormat="1" applyFont="1" applyBorder="1"/>
    <xf numFmtId="0" fontId="8" fillId="0" borderId="49" xfId="0" applyFont="1" applyBorder="1"/>
    <xf numFmtId="164" fontId="8" fillId="0" borderId="50" xfId="1" applyNumberFormat="1" applyFont="1" applyBorder="1" applyAlignment="1">
      <alignment horizontal="center"/>
    </xf>
    <xf numFmtId="165" fontId="8" fillId="2" borderId="51" xfId="1" applyNumberFormat="1" applyFont="1" applyFill="1" applyBorder="1"/>
    <xf numFmtId="2" fontId="8" fillId="0" borderId="51" xfId="0" applyNumberFormat="1" applyFont="1" applyBorder="1"/>
    <xf numFmtId="3" fontId="8" fillId="0" borderId="51" xfId="0" applyNumberFormat="1" applyFont="1" applyBorder="1"/>
    <xf numFmtId="4" fontId="8" fillId="0" borderId="51" xfId="0" applyNumberFormat="1" applyFont="1" applyBorder="1"/>
    <xf numFmtId="165" fontId="8" fillId="2" borderId="51" xfId="0" applyNumberFormat="1" applyFont="1" applyFill="1" applyBorder="1" applyAlignment="1">
      <alignment horizontal="right"/>
    </xf>
    <xf numFmtId="166" fontId="7" fillId="0" borderId="51" xfId="0" applyNumberFormat="1" applyFont="1" applyBorder="1"/>
    <xf numFmtId="4" fontId="7" fillId="0" borderId="51" xfId="0" applyNumberFormat="1" applyFont="1" applyBorder="1"/>
    <xf numFmtId="3" fontId="7" fillId="0" borderId="51" xfId="0" applyNumberFormat="1" applyFont="1" applyBorder="1"/>
    <xf numFmtId="165" fontId="7" fillId="0" borderId="51" xfId="0" applyNumberFormat="1" applyFont="1" applyBorder="1"/>
    <xf numFmtId="3" fontId="7" fillId="0" borderId="52" xfId="0" applyNumberFormat="1" applyFont="1" applyBorder="1"/>
    <xf numFmtId="3" fontId="9" fillId="0" borderId="54" xfId="0" applyNumberFormat="1" applyFont="1" applyBorder="1"/>
    <xf numFmtId="167" fontId="9" fillId="0" borderId="53" xfId="0" applyNumberFormat="1" applyFont="1" applyBorder="1"/>
    <xf numFmtId="0" fontId="7" fillId="0" borderId="0" xfId="0" applyFont="1" applyAlignment="1"/>
    <xf numFmtId="0" fontId="7" fillId="0" borderId="0" xfId="0" applyFont="1" applyAlignment="1">
      <alignment horizontal="center"/>
    </xf>
    <xf numFmtId="165" fontId="0" fillId="0" borderId="0" xfId="0" applyNumberFormat="1"/>
    <xf numFmtId="166" fontId="0" fillId="0" borderId="0" xfId="0" applyNumberFormat="1"/>
    <xf numFmtId="0" fontId="6" fillId="0" borderId="60" xfId="0" applyFont="1" applyFill="1" applyBorder="1"/>
    <xf numFmtId="164" fontId="6" fillId="0" borderId="43" xfId="1" applyNumberFormat="1" applyFont="1" applyFill="1" applyBorder="1" applyAlignment="1">
      <alignment horizontal="center"/>
    </xf>
    <xf numFmtId="165" fontId="6" fillId="0" borderId="44" xfId="1" applyNumberFormat="1" applyFont="1" applyFill="1" applyBorder="1"/>
    <xf numFmtId="3" fontId="6" fillId="0" borderId="43" xfId="0" applyNumberFormat="1" applyFont="1" applyFill="1" applyBorder="1"/>
    <xf numFmtId="166" fontId="6" fillId="0" borderId="10" xfId="0" applyNumberFormat="1" applyFont="1" applyFill="1" applyBorder="1"/>
    <xf numFmtId="167" fontId="6" fillId="0" borderId="10" xfId="0" applyNumberFormat="1" applyFont="1" applyFill="1" applyBorder="1"/>
    <xf numFmtId="165" fontId="6" fillId="0" borderId="44" xfId="0" applyNumberFormat="1" applyFont="1" applyFill="1" applyBorder="1" applyAlignment="1">
      <alignment horizontal="right"/>
    </xf>
    <xf numFmtId="165" fontId="6" fillId="0" borderId="43" xfId="0" applyNumberFormat="1" applyFont="1" applyFill="1" applyBorder="1" applyAlignment="1">
      <alignment horizontal="right"/>
    </xf>
    <xf numFmtId="165" fontId="6" fillId="0" borderId="10" xfId="0" applyNumberFormat="1" applyFont="1" applyFill="1" applyBorder="1" applyAlignment="1">
      <alignment horizontal="right"/>
    </xf>
    <xf numFmtId="3" fontId="6" fillId="0" borderId="44" xfId="0" applyNumberFormat="1" applyFont="1" applyFill="1" applyBorder="1"/>
    <xf numFmtId="165" fontId="6" fillId="0" borderId="12" xfId="0" applyNumberFormat="1" applyFont="1" applyFill="1" applyBorder="1"/>
    <xf numFmtId="3" fontId="6" fillId="0" borderId="42" xfId="0" applyNumberFormat="1" applyFont="1" applyFill="1" applyBorder="1"/>
    <xf numFmtId="165" fontId="6" fillId="0" borderId="61" xfId="0" applyNumberFormat="1" applyFont="1" applyFill="1" applyBorder="1"/>
    <xf numFmtId="167" fontId="0" fillId="0" borderId="3" xfId="0" applyNumberFormat="1" applyFill="1" applyBorder="1"/>
    <xf numFmtId="167" fontId="0" fillId="0" borderId="0" xfId="0" applyNumberFormat="1" applyFill="1"/>
    <xf numFmtId="166" fontId="0" fillId="0" borderId="0" xfId="0" applyNumberFormat="1" applyFill="1"/>
    <xf numFmtId="3" fontId="0" fillId="0" borderId="0" xfId="0" applyNumberFormat="1" applyFill="1"/>
    <xf numFmtId="164" fontId="6" fillId="0" borderId="46" xfId="1" applyNumberFormat="1" applyFont="1" applyFill="1" applyBorder="1" applyAlignment="1">
      <alignment horizontal="center"/>
    </xf>
    <xf numFmtId="166" fontId="6" fillId="0" borderId="4" xfId="0" applyNumberFormat="1" applyFont="1" applyFill="1" applyBorder="1"/>
    <xf numFmtId="165" fontId="6" fillId="0" borderId="3" xfId="0" applyNumberFormat="1" applyFont="1" applyFill="1" applyBorder="1"/>
    <xf numFmtId="0" fontId="6" fillId="0" borderId="62" xfId="0" applyFont="1" applyFill="1" applyBorder="1"/>
    <xf numFmtId="0" fontId="5" fillId="0" borderId="59" xfId="0" applyFont="1" applyFill="1" applyBorder="1"/>
    <xf numFmtId="0" fontId="7" fillId="0" borderId="0" xfId="0" applyFont="1" applyFill="1"/>
    <xf numFmtId="0" fontId="7" fillId="0" borderId="0" xfId="0" applyFont="1" applyFill="1" applyAlignment="1">
      <alignment horizontal="center"/>
    </xf>
    <xf numFmtId="0" fontId="7" fillId="0" borderId="0" xfId="0" applyFont="1" applyBorder="1" applyAlignment="1">
      <alignment horizontal="center" vertical="center"/>
    </xf>
    <xf numFmtId="0" fontId="4" fillId="0" borderId="0" xfId="0" applyFont="1"/>
    <xf numFmtId="0" fontId="8" fillId="0" borderId="5" xfId="0" applyFont="1" applyBorder="1" applyAlignment="1">
      <alignment horizontal="center"/>
    </xf>
    <xf numFmtId="0" fontId="8" fillId="0" borderId="17" xfId="0" applyFont="1" applyBorder="1" applyAlignment="1">
      <alignment wrapText="1"/>
    </xf>
    <xf numFmtId="0" fontId="8" fillId="0" borderId="0" xfId="0" applyFont="1" applyBorder="1" applyAlignment="1"/>
    <xf numFmtId="9" fontId="8" fillId="0" borderId="0" xfId="0" applyNumberFormat="1" applyFont="1" applyBorder="1" applyAlignment="1">
      <alignment horizontal="center"/>
    </xf>
    <xf numFmtId="49" fontId="8" fillId="0" borderId="59" xfId="0" applyNumberFormat="1" applyFont="1" applyBorder="1" applyAlignment="1">
      <alignment horizontal="center"/>
    </xf>
    <xf numFmtId="49" fontId="8" fillId="0" borderId="11" xfId="0" applyNumberFormat="1" applyFont="1" applyBorder="1" applyAlignment="1">
      <alignment horizontal="center"/>
    </xf>
    <xf numFmtId="49" fontId="8" fillId="0" borderId="22" xfId="0" applyNumberFormat="1" applyFont="1" applyBorder="1" applyAlignment="1">
      <alignment horizontal="center"/>
    </xf>
    <xf numFmtId="49" fontId="8" fillId="0" borderId="65" xfId="0" applyNumberFormat="1" applyFont="1" applyBorder="1" applyAlignment="1">
      <alignment horizontal="center"/>
    </xf>
    <xf numFmtId="49" fontId="7" fillId="0" borderId="39" xfId="0" applyNumberFormat="1" applyFont="1" applyBorder="1" applyAlignment="1">
      <alignment horizontal="center"/>
    </xf>
    <xf numFmtId="49" fontId="8" fillId="0" borderId="67" xfId="0" applyNumberFormat="1" applyFont="1" applyFill="1" applyBorder="1" applyAlignment="1">
      <alignment horizontal="center"/>
    </xf>
    <xf numFmtId="49" fontId="8" fillId="0" borderId="68" xfId="0" applyNumberFormat="1" applyFont="1" applyBorder="1" applyAlignment="1">
      <alignment horizontal="center"/>
    </xf>
    <xf numFmtId="0" fontId="8" fillId="0" borderId="64" xfId="0" applyFont="1" applyBorder="1" applyAlignment="1">
      <alignment horizontal="center" vertical="center"/>
    </xf>
    <xf numFmtId="0" fontId="7" fillId="0" borderId="57" xfId="0" applyFont="1" applyFill="1" applyBorder="1"/>
    <xf numFmtId="164" fontId="7" fillId="0" borderId="0" xfId="1" applyNumberFormat="1" applyFont="1" applyBorder="1" applyAlignment="1">
      <alignment horizontal="center"/>
    </xf>
    <xf numFmtId="3" fontId="7" fillId="0" borderId="57" xfId="0" applyNumberFormat="1" applyFont="1" applyBorder="1"/>
    <xf numFmtId="3" fontId="7" fillId="0" borderId="69" xfId="0" applyNumberFormat="1" applyFont="1" applyFill="1" applyBorder="1"/>
    <xf numFmtId="3" fontId="7" fillId="0" borderId="0" xfId="0" applyNumberFormat="1" applyFont="1" applyBorder="1"/>
    <xf numFmtId="167" fontId="0" fillId="0" borderId="0" xfId="0" applyNumberFormat="1"/>
    <xf numFmtId="4" fontId="0" fillId="0" borderId="0" xfId="0" applyNumberFormat="1"/>
    <xf numFmtId="167" fontId="4" fillId="0" borderId="0" xfId="0" applyNumberFormat="1" applyFont="1"/>
    <xf numFmtId="0" fontId="8" fillId="0" borderId="57" xfId="0" applyFont="1" applyFill="1" applyBorder="1"/>
    <xf numFmtId="164" fontId="8" fillId="0" borderId="0" xfId="1" applyNumberFormat="1" applyFont="1" applyFill="1" applyBorder="1" applyAlignment="1">
      <alignment horizontal="center"/>
    </xf>
    <xf numFmtId="3" fontId="8" fillId="0" borderId="0" xfId="0" applyNumberFormat="1" applyFont="1" applyFill="1" applyBorder="1"/>
    <xf numFmtId="3" fontId="8" fillId="0" borderId="57" xfId="0" applyNumberFormat="1" applyFont="1" applyBorder="1"/>
    <xf numFmtId="4" fontId="0" fillId="0" borderId="0" xfId="0" applyNumberFormat="1" applyFill="1"/>
    <xf numFmtId="0" fontId="4" fillId="0" borderId="0" xfId="0" applyFont="1" applyFill="1"/>
    <xf numFmtId="167" fontId="4" fillId="0" borderId="0" xfId="0" applyNumberFormat="1" applyFont="1" applyFill="1"/>
    <xf numFmtId="164" fontId="7" fillId="0" borderId="0" xfId="1" applyNumberFormat="1" applyFont="1" applyFill="1" applyBorder="1" applyAlignment="1">
      <alignment horizontal="center"/>
    </xf>
    <xf numFmtId="3" fontId="7" fillId="0" borderId="0" xfId="0" applyNumberFormat="1" applyFont="1" applyFill="1" applyBorder="1"/>
    <xf numFmtId="0" fontId="7" fillId="0" borderId="59" xfId="0" applyFont="1" applyFill="1" applyBorder="1"/>
    <xf numFmtId="3" fontId="8" fillId="0" borderId="51" xfId="0" applyNumberFormat="1" applyFont="1" applyFill="1" applyBorder="1"/>
    <xf numFmtId="4" fontId="7" fillId="0" borderId="0" xfId="0" applyNumberFormat="1" applyFont="1"/>
    <xf numFmtId="0" fontId="8" fillId="0" borderId="5" xfId="0" applyFont="1" applyBorder="1" applyAlignment="1">
      <alignment horizontal="center" vertical="center"/>
    </xf>
    <xf numFmtId="0" fontId="8" fillId="0" borderId="8" xfId="0" applyFont="1" applyBorder="1" applyAlignment="1">
      <alignment horizontal="center" vertical="center"/>
    </xf>
    <xf numFmtId="49" fontId="8" fillId="0" borderId="8" xfId="0" applyNumberFormat="1" applyFont="1" applyBorder="1" applyAlignment="1">
      <alignment horizontal="center"/>
    </xf>
    <xf numFmtId="49" fontId="8" fillId="0" borderId="10" xfId="0" applyNumberFormat="1" applyFont="1" applyBorder="1" applyAlignment="1">
      <alignment horizontal="center"/>
    </xf>
    <xf numFmtId="0" fontId="7" fillId="0" borderId="26" xfId="0" applyFont="1" applyBorder="1"/>
    <xf numFmtId="164" fontId="7" fillId="0" borderId="6" xfId="1" applyNumberFormat="1" applyFont="1" applyBorder="1" applyAlignment="1">
      <alignment horizontal="center"/>
    </xf>
    <xf numFmtId="4" fontId="7" fillId="0" borderId="6" xfId="0" applyNumberFormat="1" applyFont="1" applyBorder="1"/>
    <xf numFmtId="0" fontId="7" fillId="0" borderId="69" xfId="0" applyFont="1" applyBorder="1"/>
    <xf numFmtId="4" fontId="7" fillId="0" borderId="0" xfId="0" applyNumberFormat="1" applyFont="1" applyBorder="1"/>
    <xf numFmtId="0" fontId="8" fillId="0" borderId="4" xfId="0" applyFont="1" applyBorder="1"/>
    <xf numFmtId="164" fontId="8" fillId="0" borderId="4" xfId="1" applyNumberFormat="1" applyFont="1" applyBorder="1" applyAlignment="1">
      <alignment horizontal="center"/>
    </xf>
    <xf numFmtId="0" fontId="8" fillId="0" borderId="0" xfId="0" applyFont="1" applyFill="1" applyBorder="1" applyAlignment="1">
      <alignment horizontal="center"/>
    </xf>
    <xf numFmtId="0" fontId="7" fillId="0" borderId="13" xfId="0" applyFont="1" applyBorder="1"/>
    <xf numFmtId="2" fontId="0" fillId="0" borderId="0" xfId="0" applyNumberFormat="1"/>
    <xf numFmtId="0" fontId="7" fillId="0" borderId="23" xfId="0" applyFont="1" applyBorder="1"/>
    <xf numFmtId="0" fontId="7" fillId="0" borderId="31" xfId="0" applyFont="1" applyBorder="1"/>
    <xf numFmtId="0" fontId="8" fillId="0" borderId="20" xfId="0" applyFont="1" applyBorder="1"/>
    <xf numFmtId="0" fontId="7" fillId="0" borderId="0" xfId="0" applyFont="1" applyBorder="1"/>
    <xf numFmtId="0" fontId="7" fillId="0" borderId="0" xfId="0" applyFont="1" applyBorder="1" applyAlignment="1">
      <alignment horizontal="center"/>
    </xf>
    <xf numFmtId="0" fontId="0" fillId="0" borderId="0" xfId="0" applyBorder="1"/>
    <xf numFmtId="49" fontId="14" fillId="3" borderId="57" xfId="0" applyNumberFormat="1" applyFont="1" applyFill="1" applyBorder="1" applyAlignment="1">
      <alignment horizontal="center"/>
    </xf>
    <xf numFmtId="0" fontId="0" fillId="3" borderId="0" xfId="0" applyFill="1"/>
    <xf numFmtId="167" fontId="0" fillId="3" borderId="0" xfId="0" applyNumberFormat="1" applyFill="1"/>
    <xf numFmtId="3" fontId="8" fillId="0" borderId="49" xfId="0" applyNumberFormat="1" applyFont="1" applyFill="1" applyBorder="1" applyAlignment="1"/>
    <xf numFmtId="49" fontId="8" fillId="0" borderId="0" xfId="0" applyNumberFormat="1" applyFont="1" applyBorder="1" applyAlignment="1">
      <alignment horizontal="center"/>
    </xf>
    <xf numFmtId="166" fontId="7" fillId="0" borderId="0" xfId="0" applyNumberFormat="1" applyFont="1" applyBorder="1"/>
    <xf numFmtId="167" fontId="7" fillId="0" borderId="0" xfId="0" applyNumberFormat="1" applyFont="1" applyBorder="1"/>
    <xf numFmtId="0" fontId="7" fillId="0" borderId="0" xfId="0" applyFont="1" applyFill="1" applyBorder="1" applyAlignment="1">
      <alignment horizontal="center"/>
    </xf>
    <xf numFmtId="44" fontId="8" fillId="0" borderId="0" xfId="0" applyNumberFormat="1" applyFont="1" applyFill="1" applyBorder="1" applyAlignment="1">
      <alignment horizontal="center"/>
    </xf>
    <xf numFmtId="2" fontId="0" fillId="0" borderId="0" xfId="0" applyNumberFormat="1" applyBorder="1"/>
    <xf numFmtId="3" fontId="8" fillId="0" borderId="0" xfId="0" applyNumberFormat="1" applyFont="1" applyBorder="1"/>
    <xf numFmtId="167" fontId="8" fillId="0" borderId="0" xfId="0" applyNumberFormat="1" applyFont="1" applyBorder="1"/>
    <xf numFmtId="4" fontId="7" fillId="0" borderId="0" xfId="0" applyNumberFormat="1" applyFont="1" applyAlignment="1"/>
    <xf numFmtId="44" fontId="7" fillId="0" borderId="0" xfId="0" applyNumberFormat="1" applyFont="1"/>
    <xf numFmtId="3" fontId="7" fillId="0" borderId="8" xfId="0" applyNumberFormat="1" applyFont="1" applyFill="1" applyBorder="1"/>
    <xf numFmtId="0" fontId="5" fillId="0" borderId="37" xfId="0" applyFont="1" applyFill="1" applyBorder="1" applyAlignment="1">
      <alignment horizontal="center"/>
    </xf>
    <xf numFmtId="0" fontId="5" fillId="0" borderId="36" xfId="0" applyFont="1" applyFill="1" applyBorder="1" applyAlignment="1">
      <alignment horizontal="center"/>
    </xf>
    <xf numFmtId="167" fontId="12" fillId="0" borderId="43" xfId="0" applyNumberFormat="1" applyFont="1" applyFill="1" applyBorder="1"/>
    <xf numFmtId="165" fontId="12" fillId="0" borderId="44" xfId="0" applyNumberFormat="1" applyFont="1" applyFill="1" applyBorder="1"/>
    <xf numFmtId="168" fontId="12" fillId="0" borderId="43" xfId="0" applyNumberFormat="1" applyFont="1" applyFill="1" applyBorder="1"/>
    <xf numFmtId="168" fontId="12" fillId="0" borderId="10" xfId="0" applyNumberFormat="1" applyFont="1" applyFill="1" applyBorder="1"/>
    <xf numFmtId="3" fontId="9" fillId="0" borderId="44" xfId="0" applyNumberFormat="1" applyFont="1" applyFill="1" applyBorder="1" applyAlignment="1"/>
    <xf numFmtId="167" fontId="12" fillId="0" borderId="53" xfId="0" applyNumberFormat="1" applyFont="1" applyFill="1" applyBorder="1"/>
    <xf numFmtId="165" fontId="12" fillId="0" borderId="54" xfId="0" applyNumberFormat="1" applyFont="1" applyFill="1" applyBorder="1"/>
    <xf numFmtId="168" fontId="12" fillId="0" borderId="53" xfId="0" applyNumberFormat="1" applyFont="1" applyFill="1" applyBorder="1"/>
    <xf numFmtId="168" fontId="12" fillId="0" borderId="51" xfId="0" applyNumberFormat="1" applyFont="1" applyFill="1" applyBorder="1"/>
    <xf numFmtId="3" fontId="9" fillId="0" borderId="54" xfId="0" applyNumberFormat="1" applyFont="1" applyFill="1" applyBorder="1"/>
    <xf numFmtId="167" fontId="9" fillId="0" borderId="50" xfId="0" applyNumberFormat="1" applyFont="1" applyFill="1" applyBorder="1"/>
    <xf numFmtId="0" fontId="8" fillId="0" borderId="0" xfId="0" applyFont="1" applyAlignment="1">
      <alignment horizontal="center"/>
    </xf>
    <xf numFmtId="0" fontId="8" fillId="0" borderId="0" xfId="0" applyFont="1" applyBorder="1" applyAlignment="1">
      <alignment horizontal="center"/>
    </xf>
    <xf numFmtId="0" fontId="8" fillId="0" borderId="32" xfId="0" applyFont="1" applyFill="1" applyBorder="1" applyAlignment="1">
      <alignment horizontal="center"/>
    </xf>
    <xf numFmtId="3" fontId="7" fillId="0" borderId="36" xfId="0" applyNumberFormat="1" applyFont="1" applyFill="1" applyBorder="1"/>
    <xf numFmtId="3" fontId="7" fillId="0" borderId="37" xfId="0" applyNumberFormat="1" applyFont="1" applyFill="1" applyBorder="1"/>
    <xf numFmtId="0" fontId="7" fillId="0" borderId="31" xfId="0" applyFont="1" applyFill="1" applyBorder="1"/>
    <xf numFmtId="0" fontId="8" fillId="0" borderId="63" xfId="0" applyFont="1" applyFill="1" applyBorder="1" applyAlignment="1">
      <alignment horizontal="center"/>
    </xf>
    <xf numFmtId="3" fontId="7" fillId="0" borderId="34" xfId="0" applyNumberFormat="1" applyFont="1" applyFill="1" applyBorder="1"/>
    <xf numFmtId="3" fontId="7" fillId="0" borderId="38" xfId="0" applyNumberFormat="1" applyFont="1" applyFill="1" applyBorder="1"/>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9" fontId="8" fillId="0" borderId="9" xfId="0" applyNumberFormat="1" applyFont="1" applyBorder="1" applyAlignment="1">
      <alignment horizontal="center" vertical="center" wrapText="1"/>
    </xf>
    <xf numFmtId="0" fontId="8" fillId="0" borderId="12" xfId="0" applyFont="1" applyBorder="1" applyAlignment="1">
      <alignment horizontal="center" vertical="center" wrapText="1"/>
    </xf>
    <xf numFmtId="166" fontId="7" fillId="0" borderId="0" xfId="0" applyNumberFormat="1" applyFont="1"/>
    <xf numFmtId="167" fontId="7" fillId="0" borderId="6" xfId="0" applyNumberFormat="1" applyFont="1" applyBorder="1"/>
    <xf numFmtId="44" fontId="7" fillId="0" borderId="8" xfId="1" applyFont="1" applyBorder="1"/>
    <xf numFmtId="164" fontId="7" fillId="0" borderId="0" xfId="1" applyNumberFormat="1" applyFont="1" applyBorder="1"/>
    <xf numFmtId="167" fontId="7" fillId="0" borderId="9" xfId="0" applyNumberFormat="1" applyFont="1" applyBorder="1"/>
    <xf numFmtId="3" fontId="13" fillId="0" borderId="0" xfId="0" applyNumberFormat="1" applyFont="1" applyBorder="1" applyAlignment="1">
      <alignment horizontal="right" vertical="center" wrapText="1"/>
    </xf>
    <xf numFmtId="3" fontId="7" fillId="0" borderId="54" xfId="0" applyNumberFormat="1" applyFont="1" applyBorder="1"/>
    <xf numFmtId="4" fontId="7" fillId="0" borderId="3" xfId="0" applyNumberFormat="1" applyFont="1" applyBorder="1"/>
    <xf numFmtId="4" fontId="7" fillId="0" borderId="4" xfId="0" applyNumberFormat="1" applyFont="1" applyBorder="1"/>
    <xf numFmtId="44" fontId="7" fillId="0" borderId="4" xfId="1" applyFont="1" applyBorder="1"/>
    <xf numFmtId="44" fontId="8" fillId="0" borderId="0" xfId="1" applyFont="1" applyBorder="1"/>
    <xf numFmtId="170" fontId="8" fillId="0" borderId="0" xfId="0" applyNumberFormat="1" applyFont="1" applyBorder="1"/>
    <xf numFmtId="167" fontId="7" fillId="0" borderId="51" xfId="0" applyNumberFormat="1" applyFont="1" applyBorder="1" applyAlignment="1">
      <alignment horizontal="right"/>
    </xf>
    <xf numFmtId="167" fontId="7" fillId="0" borderId="51" xfId="0" applyNumberFormat="1" applyFont="1" applyBorder="1"/>
    <xf numFmtId="0" fontId="8" fillId="0" borderId="0" xfId="0" applyFont="1" applyAlignment="1">
      <alignment horizontal="center"/>
    </xf>
    <xf numFmtId="3" fontId="0" fillId="0" borderId="0" xfId="0" applyNumberFormat="1"/>
    <xf numFmtId="0" fontId="8" fillId="0" borderId="0" xfId="0" applyFont="1" applyAlignment="1">
      <alignment horizontal="center"/>
    </xf>
    <xf numFmtId="0" fontId="8" fillId="0" borderId="4" xfId="0" applyFont="1" applyBorder="1" applyAlignment="1">
      <alignment horizontal="center"/>
    </xf>
    <xf numFmtId="0" fontId="7" fillId="0" borderId="0" xfId="0" applyFont="1" applyAlignment="1">
      <alignment horizontal="center" vertical="center"/>
    </xf>
    <xf numFmtId="166" fontId="8" fillId="0" borderId="33" xfId="0" applyNumberFormat="1" applyFont="1" applyBorder="1" applyAlignment="1">
      <alignment horizontal="center"/>
    </xf>
    <xf numFmtId="166" fontId="8" fillId="0" borderId="68" xfId="0" applyNumberFormat="1" applyFont="1" applyBorder="1" applyAlignment="1">
      <alignment horizontal="center"/>
    </xf>
    <xf numFmtId="0" fontId="8" fillId="0" borderId="35" xfId="0" applyFont="1" applyBorder="1" applyAlignment="1">
      <alignment horizontal="center"/>
    </xf>
    <xf numFmtId="0" fontId="7" fillId="0" borderId="55" xfId="0" applyFont="1" applyBorder="1" applyAlignment="1">
      <alignment horizontal="center" vertical="center"/>
    </xf>
    <xf numFmtId="44" fontId="7" fillId="0" borderId="14" xfId="1" applyFont="1" applyBorder="1"/>
    <xf numFmtId="166" fontId="7" fillId="0" borderId="14" xfId="0" applyNumberFormat="1" applyFont="1" applyBorder="1"/>
    <xf numFmtId="3" fontId="22" fillId="0" borderId="14" xfId="0" applyNumberFormat="1" applyFont="1" applyBorder="1" applyAlignment="1">
      <alignment horizontal="right" vertical="center" wrapText="1"/>
    </xf>
    <xf numFmtId="0" fontId="0" fillId="0" borderId="58" xfId="0" applyBorder="1"/>
    <xf numFmtId="166" fontId="7" fillId="0" borderId="13" xfId="0" applyNumberFormat="1" applyFont="1" applyBorder="1" applyAlignment="1">
      <alignment horizontal="center"/>
    </xf>
    <xf numFmtId="166" fontId="7" fillId="0" borderId="14" xfId="0" applyNumberFormat="1" applyFont="1" applyBorder="1" applyAlignment="1">
      <alignment horizontal="center"/>
    </xf>
    <xf numFmtId="0" fontId="7" fillId="0" borderId="57" xfId="0" applyFont="1" applyBorder="1" applyAlignment="1">
      <alignment horizontal="center" vertical="center"/>
    </xf>
    <xf numFmtId="166" fontId="7" fillId="0" borderId="23" xfId="0" applyNumberFormat="1" applyFont="1" applyFill="1" applyBorder="1" applyAlignment="1">
      <alignment horizontal="center"/>
    </xf>
    <xf numFmtId="166" fontId="7" fillId="0" borderId="0" xfId="0" applyNumberFormat="1" applyFont="1" applyFill="1" applyBorder="1" applyAlignment="1">
      <alignment horizontal="center"/>
    </xf>
    <xf numFmtId="0" fontId="0" fillId="0" borderId="30" xfId="0" applyFill="1" applyBorder="1"/>
    <xf numFmtId="4" fontId="7" fillId="0" borderId="30" xfId="0" applyNumberFormat="1" applyFont="1" applyFill="1" applyBorder="1" applyAlignment="1">
      <alignment horizontal="right"/>
    </xf>
    <xf numFmtId="0" fontId="7" fillId="0" borderId="0" xfId="0" applyFont="1" applyFill="1" applyBorder="1" applyAlignment="1">
      <alignment horizontal="left"/>
    </xf>
    <xf numFmtId="0" fontId="7" fillId="0" borderId="0" xfId="0" applyFont="1" applyBorder="1" applyAlignment="1">
      <alignment horizontal="left"/>
    </xf>
    <xf numFmtId="0" fontId="7" fillId="0" borderId="23" xfId="0" applyFont="1" applyFill="1" applyBorder="1" applyAlignment="1">
      <alignment horizontal="left"/>
    </xf>
    <xf numFmtId="0" fontId="7" fillId="0" borderId="30" xfId="0" applyFont="1" applyFill="1" applyBorder="1" applyAlignment="1">
      <alignment horizontal="left"/>
    </xf>
    <xf numFmtId="0" fontId="7" fillId="0" borderId="23" xfId="0" applyFont="1" applyFill="1" applyBorder="1" applyAlignment="1">
      <alignment horizontal="right"/>
    </xf>
    <xf numFmtId="0" fontId="7" fillId="0" borderId="0" xfId="0" applyFont="1" applyFill="1" applyBorder="1" applyAlignment="1">
      <alignment horizontal="right"/>
    </xf>
    <xf numFmtId="4" fontId="7" fillId="0" borderId="23" xfId="0" applyNumberFormat="1" applyFont="1" applyFill="1" applyBorder="1" applyAlignment="1">
      <alignment horizontal="right"/>
    </xf>
    <xf numFmtId="4" fontId="7" fillId="0" borderId="0" xfId="0" applyNumberFormat="1" applyFont="1" applyFill="1" applyBorder="1" applyAlignment="1">
      <alignment horizontal="right"/>
    </xf>
    <xf numFmtId="0" fontId="7" fillId="0" borderId="59" xfId="0" applyFont="1" applyBorder="1" applyAlignment="1">
      <alignment horizontal="center" vertical="center"/>
    </xf>
    <xf numFmtId="4" fontId="17" fillId="0" borderId="0" xfId="0" applyNumberFormat="1" applyFont="1" applyFill="1" applyBorder="1" applyAlignment="1">
      <alignment horizontal="right"/>
    </xf>
    <xf numFmtId="4" fontId="20" fillId="0" borderId="0" xfId="0" applyNumberFormat="1" applyFont="1" applyBorder="1"/>
    <xf numFmtId="0" fontId="8" fillId="0" borderId="2" xfId="0" applyFont="1" applyBorder="1" applyAlignment="1">
      <alignment horizontal="center"/>
    </xf>
    <xf numFmtId="0" fontId="8" fillId="4" borderId="4" xfId="0" applyFont="1" applyFill="1" applyBorder="1" applyAlignment="1">
      <alignment horizontal="center"/>
    </xf>
    <xf numFmtId="3" fontId="23" fillId="0" borderId="4" xfId="0" applyNumberFormat="1" applyFont="1" applyBorder="1"/>
    <xf numFmtId="3" fontId="8" fillId="0" borderId="4" xfId="0" applyNumberFormat="1" applyFont="1" applyBorder="1"/>
    <xf numFmtId="169" fontId="8" fillId="0" borderId="4" xfId="0" applyNumberFormat="1" applyFont="1" applyBorder="1"/>
    <xf numFmtId="167" fontId="7" fillId="0" borderId="0" xfId="0" applyNumberFormat="1" applyFont="1" applyAlignment="1">
      <alignment horizontal="center"/>
    </xf>
    <xf numFmtId="3" fontId="8" fillId="4" borderId="4" xfId="0" applyNumberFormat="1" applyFont="1" applyFill="1" applyBorder="1"/>
    <xf numFmtId="4" fontId="7" fillId="0" borderId="0" xfId="0" applyNumberFormat="1" applyFont="1" applyAlignment="1">
      <alignment horizontal="center"/>
    </xf>
    <xf numFmtId="0" fontId="5" fillId="0" borderId="0" xfId="0" applyFont="1" applyAlignment="1">
      <alignment horizontal="center"/>
    </xf>
    <xf numFmtId="0" fontId="8" fillId="0" borderId="0" xfId="0" applyFont="1" applyAlignment="1">
      <alignment horizontal="center"/>
    </xf>
    <xf numFmtId="0" fontId="8" fillId="0" borderId="4" xfId="0" applyFont="1" applyBorder="1" applyAlignment="1">
      <alignment horizontal="center"/>
    </xf>
    <xf numFmtId="0" fontId="8" fillId="0" borderId="0" xfId="0" applyFont="1" applyBorder="1" applyAlignment="1">
      <alignment horizontal="center"/>
    </xf>
    <xf numFmtId="0" fontId="8" fillId="0" borderId="1"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vertical="center"/>
    </xf>
    <xf numFmtId="4" fontId="7" fillId="0" borderId="30" xfId="0" applyNumberFormat="1" applyFont="1" applyFill="1" applyBorder="1" applyAlignment="1">
      <alignment horizontal="right"/>
    </xf>
    <xf numFmtId="3" fontId="5" fillId="0" borderId="53" xfId="0" applyNumberFormat="1" applyFont="1" applyFill="1" applyBorder="1"/>
    <xf numFmtId="166" fontId="5" fillId="0" borderId="51" xfId="0" applyNumberFormat="1" applyFont="1" applyFill="1" applyBorder="1"/>
    <xf numFmtId="169" fontId="5" fillId="0" borderId="51" xfId="0" applyNumberFormat="1" applyFont="1" applyFill="1" applyBorder="1"/>
    <xf numFmtId="165" fontId="5" fillId="0" borderId="54" xfId="0" applyNumberFormat="1" applyFont="1" applyFill="1" applyBorder="1" applyAlignment="1">
      <alignment horizontal="right"/>
    </xf>
    <xf numFmtId="165" fontId="5" fillId="0" borderId="53" xfId="0" applyNumberFormat="1" applyFont="1" applyFill="1" applyBorder="1" applyAlignment="1">
      <alignment horizontal="right"/>
    </xf>
    <xf numFmtId="165" fontId="5" fillId="0" borderId="51" xfId="0" applyNumberFormat="1" applyFont="1" applyFill="1" applyBorder="1" applyAlignment="1">
      <alignment horizontal="right"/>
    </xf>
    <xf numFmtId="167" fontId="5" fillId="0" borderId="51" xfId="0" applyNumberFormat="1" applyFont="1" applyFill="1" applyBorder="1"/>
    <xf numFmtId="3" fontId="5" fillId="0" borderId="54" xfId="0" applyNumberFormat="1" applyFont="1" applyFill="1" applyBorder="1"/>
    <xf numFmtId="165" fontId="5" fillId="0" borderId="53" xfId="0" applyNumberFormat="1" applyFont="1" applyFill="1" applyBorder="1"/>
    <xf numFmtId="0" fontId="8" fillId="0" borderId="9" xfId="0" applyFont="1" applyBorder="1" applyAlignment="1">
      <alignment horizontal="center"/>
    </xf>
    <xf numFmtId="166" fontId="7" fillId="0" borderId="6" xfId="0" applyNumberFormat="1" applyFont="1" applyBorder="1"/>
    <xf numFmtId="165" fontId="7" fillId="0" borderId="0" xfId="1" applyNumberFormat="1" applyFont="1" applyBorder="1"/>
    <xf numFmtId="44" fontId="8" fillId="0" borderId="4" xfId="1" applyFont="1" applyBorder="1"/>
    <xf numFmtId="0" fontId="0" fillId="0" borderId="0" xfId="0"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0" borderId="12" xfId="0" applyFont="1" applyBorder="1" applyAlignment="1">
      <alignment horizontal="center"/>
    </xf>
    <xf numFmtId="4" fontId="7" fillId="0" borderId="69" xfId="0" applyNumberFormat="1" applyFont="1" applyBorder="1" applyAlignment="1">
      <alignment horizontal="center"/>
    </xf>
    <xf numFmtId="170" fontId="0" fillId="0" borderId="0" xfId="0" applyNumberFormat="1"/>
    <xf numFmtId="170" fontId="24" fillId="0" borderId="0" xfId="0" applyNumberFormat="1" applyFont="1"/>
    <xf numFmtId="4" fontId="7" fillId="0" borderId="0" xfId="0" applyNumberFormat="1" applyFont="1" applyBorder="1" applyAlignment="1">
      <alignment horizontal="center"/>
    </xf>
    <xf numFmtId="168" fontId="8" fillId="0" borderId="2" xfId="1" applyNumberFormat="1" applyFont="1" applyBorder="1"/>
    <xf numFmtId="171" fontId="8" fillId="0" borderId="3" xfId="1" applyNumberFormat="1" applyFont="1" applyBorder="1"/>
    <xf numFmtId="4" fontId="8" fillId="0" borderId="4" xfId="0" applyNumberFormat="1" applyFont="1" applyBorder="1" applyAlignment="1">
      <alignment horizontal="center"/>
    </xf>
    <xf numFmtId="167" fontId="8" fillId="0" borderId="4" xfId="0" applyNumberFormat="1" applyFont="1" applyBorder="1" applyAlignment="1">
      <alignment horizontal="center"/>
    </xf>
    <xf numFmtId="3" fontId="8" fillId="0" borderId="4" xfId="0" applyNumberFormat="1" applyFont="1" applyBorder="1" applyAlignment="1">
      <alignment horizontal="right"/>
    </xf>
    <xf numFmtId="3" fontId="7" fillId="5" borderId="4" xfId="0" applyNumberFormat="1" applyFont="1" applyFill="1" applyBorder="1"/>
    <xf numFmtId="3" fontId="8" fillId="5" borderId="4" xfId="0" applyNumberFormat="1" applyFont="1" applyFill="1" applyBorder="1"/>
    <xf numFmtId="0" fontId="0" fillId="5" borderId="0" xfId="0" applyFill="1"/>
    <xf numFmtId="0" fontId="8" fillId="0" borderId="72" xfId="0" applyFont="1" applyBorder="1" applyAlignment="1">
      <alignment horizontal="center"/>
    </xf>
    <xf numFmtId="0" fontId="8" fillId="2" borderId="72" xfId="0" applyFont="1" applyFill="1" applyBorder="1" applyAlignment="1">
      <alignment horizontal="center"/>
    </xf>
    <xf numFmtId="0" fontId="8" fillId="2" borderId="58" xfId="0" applyFont="1" applyFill="1" applyBorder="1" applyAlignment="1">
      <alignment horizontal="center"/>
    </xf>
    <xf numFmtId="0" fontId="8" fillId="2" borderId="9" xfId="0" applyFont="1" applyFill="1" applyBorder="1" applyAlignment="1">
      <alignment horizontal="center"/>
    </xf>
    <xf numFmtId="0" fontId="8" fillId="2" borderId="30" xfId="0" applyFont="1" applyFill="1" applyBorder="1" applyAlignment="1">
      <alignment horizontal="center"/>
    </xf>
    <xf numFmtId="170" fontId="7" fillId="0" borderId="0" xfId="0" applyNumberFormat="1" applyFont="1"/>
    <xf numFmtId="49" fontId="8" fillId="0" borderId="4" xfId="0" applyNumberFormat="1" applyFont="1" applyBorder="1" applyAlignment="1">
      <alignment horizontal="center"/>
    </xf>
    <xf numFmtId="49" fontId="8" fillId="0" borderId="12" xfId="0" applyNumberFormat="1" applyFont="1" applyBorder="1" applyAlignment="1">
      <alignment horizontal="center"/>
    </xf>
    <xf numFmtId="49" fontId="8" fillId="2" borderId="12" xfId="0" applyNumberFormat="1" applyFont="1" applyFill="1" applyBorder="1" applyAlignment="1">
      <alignment horizontal="center"/>
    </xf>
    <xf numFmtId="0" fontId="8" fillId="2" borderId="12" xfId="0" applyFont="1" applyFill="1" applyBorder="1" applyAlignment="1">
      <alignment horizontal="center"/>
    </xf>
    <xf numFmtId="0" fontId="8" fillId="2" borderId="78" xfId="0" applyFont="1" applyFill="1" applyBorder="1" applyAlignment="1">
      <alignment horizontal="center"/>
    </xf>
    <xf numFmtId="167" fontId="7" fillId="0" borderId="0" xfId="1" applyNumberFormat="1" applyFont="1" applyBorder="1"/>
    <xf numFmtId="4" fontId="7" fillId="2" borderId="0" xfId="0" applyNumberFormat="1" applyFont="1" applyFill="1" applyBorder="1"/>
    <xf numFmtId="3" fontId="7" fillId="2" borderId="0" xfId="0" applyNumberFormat="1" applyFont="1" applyFill="1" applyBorder="1"/>
    <xf numFmtId="166" fontId="7" fillId="2" borderId="0" xfId="0" applyNumberFormat="1" applyFont="1" applyFill="1" applyBorder="1"/>
    <xf numFmtId="3" fontId="7" fillId="2" borderId="27" xfId="0" applyNumberFormat="1" applyFont="1" applyFill="1" applyBorder="1"/>
    <xf numFmtId="170" fontId="26" fillId="0" borderId="0" xfId="0" applyNumberFormat="1" applyFont="1"/>
    <xf numFmtId="3" fontId="7" fillId="2" borderId="30" xfId="0" applyNumberFormat="1" applyFont="1" applyFill="1" applyBorder="1"/>
    <xf numFmtId="166" fontId="7" fillId="0" borderId="0" xfId="0" applyNumberFormat="1" applyFont="1" applyFill="1" applyBorder="1"/>
    <xf numFmtId="167" fontId="7" fillId="0" borderId="22" xfId="1" applyNumberFormat="1" applyFont="1" applyBorder="1"/>
    <xf numFmtId="165" fontId="7" fillId="0" borderId="22" xfId="1" applyNumberFormat="1" applyFont="1" applyBorder="1"/>
    <xf numFmtId="167" fontId="7" fillId="0" borderId="22" xfId="0" applyNumberFormat="1" applyFont="1" applyBorder="1"/>
    <xf numFmtId="3" fontId="7" fillId="0" borderId="22" xfId="0" applyNumberFormat="1" applyFont="1" applyBorder="1"/>
    <xf numFmtId="4" fontId="7" fillId="0" borderId="22" xfId="0" applyNumberFormat="1" applyFont="1" applyBorder="1"/>
    <xf numFmtId="166" fontId="7" fillId="0" borderId="22" xfId="0" applyNumberFormat="1" applyFont="1" applyBorder="1"/>
    <xf numFmtId="4" fontId="7" fillId="2" borderId="22" xfId="0" applyNumberFormat="1" applyFont="1" applyFill="1" applyBorder="1"/>
    <xf numFmtId="3" fontId="7" fillId="2" borderId="22" xfId="0" applyNumberFormat="1" applyFont="1" applyFill="1" applyBorder="1"/>
    <xf numFmtId="166" fontId="7" fillId="2" borderId="22" xfId="0" applyNumberFormat="1" applyFont="1" applyFill="1" applyBorder="1"/>
    <xf numFmtId="3" fontId="7" fillId="2" borderId="40" xfId="0" applyNumberFormat="1" applyFont="1" applyFill="1" applyBorder="1"/>
    <xf numFmtId="0" fontId="8" fillId="0" borderId="53" xfId="0" applyFont="1" applyBorder="1"/>
    <xf numFmtId="164" fontId="8" fillId="0" borderId="51" xfId="1" applyNumberFormat="1" applyFont="1" applyBorder="1"/>
    <xf numFmtId="165" fontId="8" fillId="0" borderId="51" xfId="1" applyNumberFormat="1" applyFont="1" applyBorder="1"/>
    <xf numFmtId="4" fontId="8" fillId="2" borderId="51" xfId="0" applyNumberFormat="1" applyFont="1" applyFill="1" applyBorder="1"/>
    <xf numFmtId="4" fontId="7" fillId="2" borderId="56" xfId="0" applyNumberFormat="1" applyFont="1" applyFill="1" applyBorder="1"/>
    <xf numFmtId="3" fontId="8" fillId="2" borderId="51" xfId="0" applyNumberFormat="1" applyFont="1" applyFill="1" applyBorder="1" applyAlignment="1">
      <alignment horizontal="right"/>
    </xf>
    <xf numFmtId="4" fontId="8" fillId="2" borderId="51" xfId="0" applyNumberFormat="1" applyFont="1" applyFill="1" applyBorder="1" applyAlignment="1">
      <alignment horizontal="right"/>
    </xf>
    <xf numFmtId="3" fontId="8" fillId="2" borderId="54" xfId="0" applyNumberFormat="1" applyFont="1" applyFill="1" applyBorder="1"/>
    <xf numFmtId="164" fontId="8" fillId="0" borderId="0" xfId="1" applyNumberFormat="1" applyFont="1" applyBorder="1" applyAlignment="1">
      <alignment horizontal="center"/>
    </xf>
    <xf numFmtId="7" fontId="7" fillId="0" borderId="0" xfId="0" applyNumberFormat="1" applyFont="1"/>
    <xf numFmtId="0" fontId="7" fillId="0" borderId="4" xfId="0" applyFont="1" applyBorder="1"/>
    <xf numFmtId="44" fontId="7" fillId="0" borderId="6" xfId="1" applyFont="1" applyBorder="1"/>
    <xf numFmtId="44" fontId="27" fillId="0" borderId="0" xfId="0" applyNumberFormat="1" applyFont="1"/>
    <xf numFmtId="44" fontId="7" fillId="0" borderId="0" xfId="1" applyFont="1" applyBorder="1"/>
    <xf numFmtId="44" fontId="26" fillId="0" borderId="0" xfId="0" applyNumberFormat="1" applyFont="1"/>
    <xf numFmtId="170" fontId="8" fillId="0" borderId="4" xfId="0" applyNumberFormat="1" applyFont="1" applyBorder="1"/>
    <xf numFmtId="44" fontId="8" fillId="0" borderId="4" xfId="0" applyNumberFormat="1" applyFont="1" applyBorder="1"/>
    <xf numFmtId="164" fontId="8" fillId="0" borderId="4" xfId="0" applyNumberFormat="1" applyFont="1" applyBorder="1"/>
    <xf numFmtId="164" fontId="8" fillId="0" borderId="0" xfId="0" applyNumberFormat="1" applyFont="1" applyBorder="1"/>
    <xf numFmtId="3" fontId="9" fillId="0" borderId="11" xfId="0" applyNumberFormat="1" applyFont="1" applyFill="1" applyBorder="1" applyAlignment="1"/>
    <xf numFmtId="167" fontId="8" fillId="0" borderId="51" xfId="0" applyNumberFormat="1" applyFont="1" applyBorder="1"/>
    <xf numFmtId="172" fontId="8" fillId="0" borderId="51" xfId="0" applyNumberFormat="1" applyFont="1" applyBorder="1"/>
    <xf numFmtId="4" fontId="7" fillId="6" borderId="0" xfId="0" applyNumberFormat="1" applyFont="1" applyFill="1" applyBorder="1"/>
    <xf numFmtId="4" fontId="7" fillId="6" borderId="22" xfId="0" applyNumberFormat="1" applyFont="1" applyFill="1" applyBorder="1"/>
    <xf numFmtId="0" fontId="8" fillId="0" borderId="8"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28" xfId="0" applyFont="1" applyBorder="1" applyAlignment="1">
      <alignment horizontal="center" vertical="center" wrapText="1"/>
    </xf>
    <xf numFmtId="49" fontId="8" fillId="0" borderId="36" xfId="0" applyNumberFormat="1" applyFont="1" applyBorder="1" applyAlignment="1">
      <alignment horizontal="center"/>
    </xf>
    <xf numFmtId="165" fontId="0" fillId="0" borderId="0" xfId="0" applyNumberFormat="1" applyAlignment="1">
      <alignment horizontal="center"/>
    </xf>
    <xf numFmtId="49" fontId="16" fillId="0" borderId="59" xfId="0" applyNumberFormat="1" applyFont="1" applyFill="1" applyBorder="1" applyAlignment="1">
      <alignment horizontal="center" vertical="center" wrapText="1"/>
    </xf>
    <xf numFmtId="49" fontId="10" fillId="0" borderId="31" xfId="0" applyNumberFormat="1" applyFont="1" applyBorder="1" applyAlignment="1">
      <alignment horizontal="center"/>
    </xf>
    <xf numFmtId="164" fontId="6" fillId="0" borderId="24" xfId="1" applyNumberFormat="1" applyFont="1" applyFill="1" applyBorder="1" applyAlignment="1">
      <alignment horizontal="center"/>
    </xf>
    <xf numFmtId="165" fontId="6" fillId="0" borderId="29" xfId="1" applyNumberFormat="1" applyFont="1" applyFill="1" applyBorder="1"/>
    <xf numFmtId="3" fontId="6" fillId="0" borderId="24" xfId="0" applyNumberFormat="1" applyFont="1" applyFill="1" applyBorder="1"/>
    <xf numFmtId="166" fontId="6" fillId="0" borderId="5" xfId="0" applyNumberFormat="1" applyFont="1" applyFill="1" applyBorder="1"/>
    <xf numFmtId="167" fontId="6" fillId="0" borderId="5" xfId="0" applyNumberFormat="1" applyFont="1" applyFill="1" applyBorder="1"/>
    <xf numFmtId="165" fontId="6" fillId="0" borderId="29" xfId="0" applyNumberFormat="1" applyFont="1" applyFill="1" applyBorder="1" applyAlignment="1">
      <alignment horizontal="right"/>
    </xf>
    <xf numFmtId="165" fontId="6" fillId="0" borderId="24" xfId="0" applyNumberFormat="1" applyFont="1" applyFill="1" applyBorder="1" applyAlignment="1">
      <alignment horizontal="right"/>
    </xf>
    <xf numFmtId="165" fontId="6" fillId="0" borderId="5" xfId="0" applyNumberFormat="1" applyFont="1" applyFill="1" applyBorder="1" applyAlignment="1">
      <alignment horizontal="right"/>
    </xf>
    <xf numFmtId="3" fontId="6" fillId="0" borderId="29" xfId="0" applyNumberFormat="1" applyFont="1" applyFill="1" applyBorder="1"/>
    <xf numFmtId="165" fontId="6" fillId="0" borderId="7" xfId="0" applyNumberFormat="1" applyFont="1" applyFill="1" applyBorder="1"/>
    <xf numFmtId="3" fontId="6" fillId="0" borderId="69" xfId="0" applyNumberFormat="1" applyFont="1" applyFill="1" applyBorder="1"/>
    <xf numFmtId="165" fontId="6" fillId="0" borderId="48" xfId="0" applyNumberFormat="1" applyFont="1" applyFill="1" applyBorder="1"/>
    <xf numFmtId="165" fontId="5" fillId="0" borderId="49" xfId="0" applyNumberFormat="1" applyFont="1" applyFill="1" applyBorder="1"/>
    <xf numFmtId="167" fontId="8" fillId="0" borderId="51" xfId="0" applyNumberFormat="1" applyFont="1" applyFill="1" applyBorder="1"/>
    <xf numFmtId="3" fontId="8" fillId="0" borderId="52" xfId="0" applyNumberFormat="1" applyFont="1" applyFill="1" applyBorder="1"/>
    <xf numFmtId="3" fontId="8" fillId="0" borderId="54" xfId="0" applyNumberFormat="1" applyFont="1" applyFill="1" applyBorder="1"/>
    <xf numFmtId="0" fontId="8" fillId="0" borderId="11" xfId="0" applyFont="1" applyBorder="1" applyAlignment="1"/>
    <xf numFmtId="0" fontId="28" fillId="0" borderId="0" xfId="2"/>
    <xf numFmtId="0" fontId="32" fillId="0" borderId="49" xfId="2" applyFont="1" applyFill="1" applyBorder="1" applyAlignment="1">
      <alignment horizontal="center" vertical="center" wrapText="1"/>
    </xf>
    <xf numFmtId="0" fontId="32" fillId="0" borderId="56" xfId="2" applyFont="1" applyFill="1" applyBorder="1" applyAlignment="1">
      <alignment horizontal="center" vertical="center" wrapText="1"/>
    </xf>
    <xf numFmtId="0" fontId="32" fillId="0" borderId="21" xfId="2" applyFont="1" applyFill="1" applyBorder="1" applyAlignment="1">
      <alignment horizontal="center" vertical="center" wrapText="1"/>
    </xf>
    <xf numFmtId="0" fontId="32" fillId="0" borderId="57" xfId="2" applyFont="1" applyBorder="1"/>
    <xf numFmtId="10" fontId="32" fillId="0" borderId="55" xfId="2" applyNumberFormat="1" applyFont="1" applyBorder="1" applyAlignment="1">
      <alignment horizontal="right"/>
    </xf>
    <xf numFmtId="3" fontId="32" fillId="0" borderId="57" xfId="2" applyNumberFormat="1" applyFont="1" applyBorder="1"/>
    <xf numFmtId="3" fontId="32" fillId="0" borderId="0" xfId="2" applyNumberFormat="1" applyFont="1" applyBorder="1"/>
    <xf numFmtId="3" fontId="32" fillId="0" borderId="55" xfId="2" applyNumberFormat="1" applyFont="1" applyBorder="1"/>
    <xf numFmtId="3" fontId="32" fillId="0" borderId="30" xfId="2" applyNumberFormat="1" applyFont="1" applyBorder="1"/>
    <xf numFmtId="10" fontId="32" fillId="0" borderId="57" xfId="2" applyNumberFormat="1" applyFont="1" applyBorder="1" applyAlignment="1">
      <alignment horizontal="right"/>
    </xf>
    <xf numFmtId="10" fontId="32" fillId="0" borderId="59" xfId="2" applyNumberFormat="1" applyFont="1" applyBorder="1" applyAlignment="1">
      <alignment horizontal="right"/>
    </xf>
    <xf numFmtId="3" fontId="32" fillId="0" borderId="59" xfId="2" applyNumberFormat="1" applyFont="1" applyBorder="1"/>
    <xf numFmtId="0" fontId="32" fillId="0" borderId="49" xfId="2" applyFont="1" applyBorder="1"/>
    <xf numFmtId="10" fontId="32" fillId="0" borderId="49" xfId="2" applyNumberFormat="1" applyFont="1" applyBorder="1" applyAlignment="1">
      <alignment horizontal="right"/>
    </xf>
    <xf numFmtId="3" fontId="33" fillId="0" borderId="49" xfId="2" applyNumberFormat="1" applyFont="1" applyBorder="1"/>
    <xf numFmtId="167" fontId="9" fillId="0" borderId="43" xfId="0" applyNumberFormat="1" applyFont="1" applyFill="1" applyBorder="1" applyAlignment="1"/>
    <xf numFmtId="167" fontId="9" fillId="0" borderId="34" xfId="0" applyNumberFormat="1" applyFont="1" applyFill="1" applyBorder="1" applyAlignment="1"/>
    <xf numFmtId="3" fontId="9" fillId="0" borderId="37" xfId="0" applyNumberFormat="1" applyFont="1" applyFill="1" applyBorder="1" applyAlignment="1"/>
    <xf numFmtId="167" fontId="9" fillId="0" borderId="18" xfId="0" applyNumberFormat="1" applyFont="1" applyFill="1" applyBorder="1" applyAlignment="1"/>
    <xf numFmtId="167" fontId="9" fillId="0" borderId="3" xfId="0" applyNumberFormat="1" applyFont="1" applyFill="1" applyBorder="1" applyAlignment="1"/>
    <xf numFmtId="167" fontId="9" fillId="0" borderId="65" xfId="0" applyNumberFormat="1" applyFont="1" applyFill="1" applyBorder="1" applyAlignment="1"/>
    <xf numFmtId="0" fontId="7" fillId="0" borderId="70" xfId="0" applyFont="1" applyBorder="1"/>
    <xf numFmtId="164" fontId="7" fillId="0" borderId="71" xfId="1" applyNumberFormat="1" applyFont="1" applyBorder="1" applyAlignment="1">
      <alignment horizontal="center"/>
    </xf>
    <xf numFmtId="165" fontId="7" fillId="0" borderId="8" xfId="1" applyNumberFormat="1" applyFont="1" applyBorder="1"/>
    <xf numFmtId="167" fontId="7" fillId="0" borderId="71" xfId="0" applyNumberFormat="1" applyFont="1" applyBorder="1"/>
    <xf numFmtId="3" fontId="7" fillId="0" borderId="8" xfId="0" applyNumberFormat="1" applyFont="1" applyFill="1" applyBorder="1" applyAlignment="1">
      <alignment horizontal="right"/>
    </xf>
    <xf numFmtId="0" fontId="7" fillId="0" borderId="28" xfId="0" applyFont="1" applyBorder="1"/>
    <xf numFmtId="164" fontId="7" fillId="0" borderId="8" xfId="1" applyNumberFormat="1" applyFont="1" applyBorder="1" applyAlignment="1">
      <alignment horizontal="center"/>
    </xf>
    <xf numFmtId="167" fontId="7" fillId="0" borderId="8" xfId="0" applyNumberFormat="1" applyFont="1" applyBorder="1"/>
    <xf numFmtId="0" fontId="7" fillId="0" borderId="34" xfId="0" applyFont="1" applyBorder="1"/>
    <xf numFmtId="164" fontId="7" fillId="0" borderId="36" xfId="1" applyNumberFormat="1" applyFont="1" applyBorder="1" applyAlignment="1">
      <alignment horizontal="center"/>
    </xf>
    <xf numFmtId="165" fontId="7" fillId="0" borderId="36" xfId="1" applyNumberFormat="1" applyFont="1" applyBorder="1"/>
    <xf numFmtId="167" fontId="7" fillId="0" borderId="36" xfId="0" applyNumberFormat="1" applyFont="1" applyBorder="1"/>
    <xf numFmtId="164" fontId="8" fillId="0" borderId="51" xfId="1" applyNumberFormat="1" applyFont="1" applyBorder="1" applyAlignment="1">
      <alignment horizontal="center"/>
    </xf>
    <xf numFmtId="3" fontId="8" fillId="0" borderId="51" xfId="0" applyNumberFormat="1" applyFont="1" applyFill="1" applyBorder="1" applyAlignment="1">
      <alignment horizontal="right"/>
    </xf>
    <xf numFmtId="165" fontId="8" fillId="0" borderId="54" xfId="0" applyNumberFormat="1" applyFont="1" applyFill="1" applyBorder="1" applyAlignment="1">
      <alignment horizontal="right"/>
    </xf>
    <xf numFmtId="0" fontId="8" fillId="0" borderId="71" xfId="0" applyFont="1" applyFill="1" applyBorder="1" applyAlignment="1">
      <alignment horizontal="center"/>
    </xf>
    <xf numFmtId="0" fontId="8" fillId="0" borderId="8" xfId="0" applyFont="1" applyFill="1" applyBorder="1" applyAlignment="1">
      <alignment horizontal="center"/>
    </xf>
    <xf numFmtId="49" fontId="8" fillId="0" borderId="8" xfId="0" applyNumberFormat="1" applyFont="1" applyFill="1" applyBorder="1" applyAlignment="1">
      <alignment horizontal="center"/>
    </xf>
    <xf numFmtId="49" fontId="8" fillId="0" borderId="36" xfId="0" applyNumberFormat="1" applyFont="1" applyFill="1" applyBorder="1" applyAlignment="1">
      <alignment horizontal="center"/>
    </xf>
    <xf numFmtId="49" fontId="8" fillId="0" borderId="37" xfId="0" applyNumberFormat="1" applyFont="1" applyFill="1" applyBorder="1" applyAlignment="1">
      <alignment horizontal="center"/>
    </xf>
    <xf numFmtId="3" fontId="7" fillId="0" borderId="71" xfId="0" applyNumberFormat="1" applyFont="1" applyBorder="1"/>
    <xf numFmtId="167" fontId="7" fillId="0" borderId="71" xfId="0" applyNumberFormat="1" applyFont="1" applyBorder="1" applyAlignment="1">
      <alignment horizontal="right"/>
    </xf>
    <xf numFmtId="3" fontId="7" fillId="0" borderId="8" xfId="0" applyNumberFormat="1" applyFont="1" applyBorder="1" applyAlignment="1">
      <alignment horizontal="right"/>
    </xf>
    <xf numFmtId="3" fontId="7" fillId="0" borderId="29" xfId="0" applyNumberFormat="1" applyFont="1" applyBorder="1" applyAlignment="1">
      <alignment horizontal="right"/>
    </xf>
    <xf numFmtId="3" fontId="7" fillId="0" borderId="8" xfId="0" applyNumberFormat="1" applyFont="1" applyBorder="1"/>
    <xf numFmtId="167" fontId="7" fillId="0" borderId="8" xfId="0" applyNumberFormat="1" applyFont="1" applyBorder="1" applyAlignment="1">
      <alignment horizontal="right"/>
    </xf>
    <xf numFmtId="167" fontId="7" fillId="0" borderId="36" xfId="0" applyNumberFormat="1" applyFont="1" applyBorder="1" applyAlignment="1">
      <alignment horizontal="right"/>
    </xf>
    <xf numFmtId="3" fontId="8" fillId="0" borderId="36" xfId="0" applyNumberFormat="1" applyFont="1" applyBorder="1"/>
    <xf numFmtId="168" fontId="8" fillId="0" borderId="36" xfId="1" applyNumberFormat="1" applyFont="1" applyBorder="1"/>
    <xf numFmtId="3" fontId="8" fillId="0" borderId="51" xfId="0" applyNumberFormat="1" applyFont="1" applyBorder="1" applyAlignment="1">
      <alignment horizontal="right"/>
    </xf>
    <xf numFmtId="3" fontId="8" fillId="0" borderId="54" xfId="0" applyNumberFormat="1" applyFont="1" applyBorder="1" applyAlignment="1">
      <alignment horizontal="right"/>
    </xf>
    <xf numFmtId="49" fontId="14" fillId="0" borderId="36" xfId="0" applyNumberFormat="1" applyFont="1" applyFill="1" applyBorder="1" applyAlignment="1">
      <alignment horizontal="center"/>
    </xf>
    <xf numFmtId="0" fontId="14" fillId="0" borderId="36" xfId="0" applyFont="1" applyFill="1" applyBorder="1" applyAlignment="1">
      <alignment horizontal="center"/>
    </xf>
    <xf numFmtId="49" fontId="14" fillId="0" borderId="37" xfId="0" applyNumberFormat="1" applyFont="1" applyFill="1" applyBorder="1" applyAlignment="1">
      <alignment horizontal="center"/>
    </xf>
    <xf numFmtId="0" fontId="7" fillId="0" borderId="70" xfId="0" applyFont="1" applyFill="1" applyBorder="1"/>
    <xf numFmtId="164" fontId="7" fillId="0" borderId="8" xfId="1" applyNumberFormat="1" applyFont="1" applyFill="1" applyBorder="1" applyAlignment="1">
      <alignment horizontal="right"/>
    </xf>
    <xf numFmtId="165" fontId="7" fillId="0" borderId="8" xfId="1" applyNumberFormat="1" applyFont="1" applyFill="1" applyBorder="1"/>
    <xf numFmtId="4" fontId="7" fillId="0" borderId="8" xfId="0" applyNumberFormat="1" applyFont="1" applyFill="1" applyBorder="1"/>
    <xf numFmtId="166" fontId="7" fillId="0" borderId="8" xfId="0" applyNumberFormat="1" applyFont="1" applyFill="1" applyBorder="1"/>
    <xf numFmtId="167" fontId="7" fillId="0" borderId="8" xfId="0" applyNumberFormat="1" applyFont="1" applyFill="1" applyBorder="1"/>
    <xf numFmtId="3" fontId="7" fillId="0" borderId="8" xfId="0" applyNumberFormat="1" applyFont="1" applyFill="1" applyBorder="1" applyAlignment="1"/>
    <xf numFmtId="3" fontId="7" fillId="0" borderId="29" xfId="0" applyNumberFormat="1" applyFont="1" applyFill="1" applyBorder="1" applyAlignment="1"/>
    <xf numFmtId="0" fontId="7" fillId="0" borderId="28" xfId="0" applyFont="1" applyFill="1" applyBorder="1"/>
    <xf numFmtId="164" fontId="7" fillId="0" borderId="36" xfId="1" applyNumberFormat="1" applyFont="1" applyFill="1" applyBorder="1" applyAlignment="1">
      <alignment horizontal="right"/>
    </xf>
    <xf numFmtId="165" fontId="7" fillId="0" borderId="36" xfId="1" applyNumberFormat="1" applyFont="1" applyFill="1" applyBorder="1"/>
    <xf numFmtId="4" fontId="7" fillId="0" borderId="36" xfId="0" applyNumberFormat="1" applyFont="1" applyFill="1" applyBorder="1"/>
    <xf numFmtId="166" fontId="7" fillId="0" borderId="36" xfId="0" applyNumberFormat="1" applyFont="1" applyFill="1" applyBorder="1"/>
    <xf numFmtId="167" fontId="7" fillId="0" borderId="36" xfId="0" applyNumberFormat="1" applyFont="1" applyFill="1" applyBorder="1"/>
    <xf numFmtId="3" fontId="7" fillId="0" borderId="36" xfId="0" applyNumberFormat="1" applyFont="1" applyFill="1" applyBorder="1" applyAlignment="1"/>
    <xf numFmtId="3" fontId="7" fillId="0" borderId="37" xfId="0" applyNumberFormat="1" applyFont="1" applyFill="1" applyBorder="1" applyAlignment="1"/>
    <xf numFmtId="0" fontId="7" fillId="0" borderId="53" xfId="0" applyFont="1" applyFill="1" applyBorder="1"/>
    <xf numFmtId="164" fontId="8" fillId="0" borderId="51" xfId="1" applyNumberFormat="1" applyFont="1" applyFill="1" applyBorder="1" applyAlignment="1">
      <alignment horizontal="center"/>
    </xf>
    <xf numFmtId="165" fontId="8" fillId="0" borderId="51" xfId="1" applyNumberFormat="1" applyFont="1" applyFill="1" applyBorder="1"/>
    <xf numFmtId="4" fontId="8" fillId="0" borderId="36" xfId="0" applyNumberFormat="1" applyFont="1" applyFill="1" applyBorder="1"/>
    <xf numFmtId="166" fontId="8" fillId="0" borderId="36" xfId="0" applyNumberFormat="1" applyFont="1" applyFill="1" applyBorder="1"/>
    <xf numFmtId="3" fontId="8" fillId="0" borderId="51" xfId="0" applyNumberFormat="1" applyFont="1" applyFill="1" applyBorder="1" applyAlignment="1"/>
    <xf numFmtId="3" fontId="8" fillId="0" borderId="54" xfId="0" applyNumberFormat="1" applyFont="1" applyFill="1" applyBorder="1" applyAlignment="1"/>
    <xf numFmtId="0" fontId="8" fillId="0" borderId="71" xfId="0" applyFont="1" applyBorder="1" applyAlignment="1">
      <alignment horizontal="center" vertical="center" wrapText="1"/>
    </xf>
    <xf numFmtId="9" fontId="8" fillId="0" borderId="8" xfId="0" applyNumberFormat="1" applyFont="1" applyBorder="1" applyAlignment="1">
      <alignment horizontal="center" vertical="center" wrapText="1"/>
    </xf>
    <xf numFmtId="166" fontId="7" fillId="0" borderId="8" xfId="0" applyNumberFormat="1" applyFont="1" applyBorder="1"/>
    <xf numFmtId="3" fontId="7" fillId="0" borderId="29" xfId="0" applyNumberFormat="1" applyFont="1" applyBorder="1"/>
    <xf numFmtId="3" fontId="7" fillId="0" borderId="13" xfId="0" applyNumberFormat="1" applyFont="1" applyFill="1" applyBorder="1"/>
    <xf numFmtId="3" fontId="7" fillId="0" borderId="70" xfId="0" applyNumberFormat="1" applyFont="1" applyFill="1" applyBorder="1"/>
    <xf numFmtId="3" fontId="7" fillId="0" borderId="71" xfId="0" applyNumberFormat="1" applyFont="1" applyFill="1" applyBorder="1"/>
    <xf numFmtId="3" fontId="7" fillId="0" borderId="66" xfId="0" applyNumberFormat="1" applyFont="1" applyFill="1" applyBorder="1"/>
    <xf numFmtId="3" fontId="7" fillId="0" borderId="72" xfId="0" applyNumberFormat="1" applyFont="1" applyFill="1" applyBorder="1"/>
    <xf numFmtId="3" fontId="7" fillId="0" borderId="23" xfId="0" applyNumberFormat="1" applyFont="1" applyFill="1" applyBorder="1"/>
    <xf numFmtId="3" fontId="7" fillId="0" borderId="28" xfId="0" applyNumberFormat="1" applyFont="1" applyFill="1" applyBorder="1"/>
    <xf numFmtId="3" fontId="7" fillId="0" borderId="29" xfId="0" applyNumberFormat="1" applyFont="1" applyFill="1" applyBorder="1"/>
    <xf numFmtId="3" fontId="7" fillId="0" borderId="9" xfId="0" applyNumberFormat="1" applyFont="1" applyFill="1" applyBorder="1"/>
    <xf numFmtId="3" fontId="7" fillId="0" borderId="31" xfId="0" applyNumberFormat="1" applyFont="1" applyFill="1" applyBorder="1"/>
    <xf numFmtId="0" fontId="8" fillId="0" borderId="64" xfId="0" applyFont="1" applyFill="1" applyBorder="1" applyAlignment="1">
      <alignment horizontal="center"/>
    </xf>
    <xf numFmtId="3" fontId="7" fillId="0" borderId="66" xfId="0" applyNumberFormat="1" applyFont="1" applyBorder="1"/>
    <xf numFmtId="3" fontId="13" fillId="0" borderId="29" xfId="0" applyNumberFormat="1" applyFont="1" applyBorder="1" applyAlignment="1">
      <alignment horizontal="right" vertical="center" wrapText="1"/>
    </xf>
    <xf numFmtId="3" fontId="8" fillId="0" borderId="54" xfId="0" applyNumberFormat="1" applyFont="1" applyBorder="1"/>
    <xf numFmtId="0" fontId="7" fillId="0" borderId="20" xfId="0" applyFont="1" applyBorder="1"/>
    <xf numFmtId="9" fontId="8" fillId="0" borderId="28" xfId="0" applyNumberFormat="1" applyFont="1" applyBorder="1" applyAlignment="1">
      <alignment horizontal="center" vertical="center" wrapText="1"/>
    </xf>
    <xf numFmtId="166" fontId="7" fillId="0" borderId="28" xfId="0" applyNumberFormat="1" applyFont="1" applyBorder="1"/>
    <xf numFmtId="167" fontId="7" fillId="0" borderId="53" xfId="0" applyNumberFormat="1" applyFont="1" applyBorder="1" applyAlignment="1">
      <alignment horizontal="right"/>
    </xf>
    <xf numFmtId="49" fontId="8" fillId="0" borderId="64" xfId="0" applyNumberFormat="1" applyFont="1" applyFill="1" applyBorder="1" applyAlignment="1">
      <alignment horizontal="center"/>
    </xf>
    <xf numFmtId="0" fontId="8" fillId="0" borderId="44" xfId="0" applyFont="1" applyFill="1" applyBorder="1" applyAlignment="1">
      <alignment horizontal="center"/>
    </xf>
    <xf numFmtId="165" fontId="7" fillId="0" borderId="66" xfId="0" applyNumberFormat="1" applyFont="1" applyFill="1" applyBorder="1" applyAlignment="1">
      <alignment horizontal="right"/>
    </xf>
    <xf numFmtId="165" fontId="7" fillId="0" borderId="29" xfId="0" applyNumberFormat="1" applyFont="1" applyFill="1" applyBorder="1" applyAlignment="1">
      <alignment horizontal="right"/>
    </xf>
    <xf numFmtId="3" fontId="8" fillId="0" borderId="29" xfId="0" applyNumberFormat="1" applyFont="1" applyFill="1" applyBorder="1"/>
    <xf numFmtId="49" fontId="8" fillId="0" borderId="63" xfId="0" applyNumberFormat="1" applyFont="1" applyBorder="1" applyAlignment="1">
      <alignment horizontal="center"/>
    </xf>
    <xf numFmtId="49" fontId="8" fillId="0" borderId="64" xfId="0" applyNumberFormat="1" applyFont="1" applyBorder="1" applyAlignment="1">
      <alignment horizontal="center"/>
    </xf>
    <xf numFmtId="0" fontId="8" fillId="0" borderId="28" xfId="0" applyFont="1" applyBorder="1" applyAlignment="1">
      <alignment horizontal="center"/>
    </xf>
    <xf numFmtId="0" fontId="8" fillId="0" borderId="29" xfId="0" applyFont="1" applyFill="1" applyBorder="1" applyAlignment="1">
      <alignment horizontal="center"/>
    </xf>
    <xf numFmtId="49" fontId="8" fillId="0" borderId="43" xfId="0" applyNumberFormat="1" applyFont="1" applyBorder="1" applyAlignment="1">
      <alignment horizontal="center"/>
    </xf>
    <xf numFmtId="0" fontId="8" fillId="0" borderId="10" xfId="0" applyFont="1" applyBorder="1" applyAlignment="1">
      <alignment horizontal="center" vertical="center"/>
    </xf>
    <xf numFmtId="49" fontId="8" fillId="0" borderId="44" xfId="0" applyNumberFormat="1" applyFont="1" applyFill="1" applyBorder="1" applyAlignment="1">
      <alignment horizontal="center"/>
    </xf>
    <xf numFmtId="0" fontId="8" fillId="0" borderId="29" xfId="0" applyFont="1" applyFill="1" applyBorder="1" applyAlignment="1">
      <alignment horizontal="center" wrapText="1"/>
    </xf>
    <xf numFmtId="49" fontId="8" fillId="0" borderId="42" xfId="0" applyNumberFormat="1" applyFont="1" applyBorder="1" applyAlignment="1">
      <alignment horizontal="center"/>
    </xf>
    <xf numFmtId="0" fontId="8" fillId="0" borderId="5" xfId="0" applyFont="1" applyFill="1" applyBorder="1" applyAlignment="1">
      <alignment horizontal="center" vertical="center"/>
    </xf>
    <xf numFmtId="49" fontId="8" fillId="0" borderId="10" xfId="0" applyNumberFormat="1" applyFont="1" applyFill="1" applyBorder="1" applyAlignment="1">
      <alignment horizontal="center"/>
    </xf>
    <xf numFmtId="49" fontId="8" fillId="0" borderId="62" xfId="0" applyNumberFormat="1" applyFont="1" applyFill="1" applyBorder="1" applyAlignment="1">
      <alignment horizontal="center"/>
    </xf>
    <xf numFmtId="0" fontId="8" fillId="0" borderId="25" xfId="0" applyFont="1" applyFill="1" applyBorder="1" applyAlignment="1">
      <alignment horizontal="center" vertical="center"/>
    </xf>
    <xf numFmtId="49" fontId="8" fillId="0" borderId="46" xfId="0" applyNumberFormat="1" applyFont="1" applyBorder="1" applyAlignment="1">
      <alignment horizontal="center"/>
    </xf>
    <xf numFmtId="49" fontId="8" fillId="0" borderId="47" xfId="0" applyNumberFormat="1" applyFont="1" applyFill="1" applyBorder="1" applyAlignment="1">
      <alignment horizontal="center"/>
    </xf>
    <xf numFmtId="167" fontId="7" fillId="0" borderId="71" xfId="0" applyNumberFormat="1" applyFont="1" applyFill="1" applyBorder="1"/>
    <xf numFmtId="4" fontId="7" fillId="0" borderId="66" xfId="0" applyNumberFormat="1" applyFont="1" applyFill="1" applyBorder="1"/>
    <xf numFmtId="4" fontId="7" fillId="0" borderId="29" xfId="0" applyNumberFormat="1" applyFont="1" applyFill="1" applyBorder="1"/>
    <xf numFmtId="3" fontId="8" fillId="0" borderId="28" xfId="0" applyNumberFormat="1" applyFont="1" applyFill="1" applyBorder="1"/>
    <xf numFmtId="167" fontId="8" fillId="0" borderId="8" xfId="0" applyNumberFormat="1" applyFont="1" applyFill="1" applyBorder="1"/>
    <xf numFmtId="3" fontId="8" fillId="0" borderId="53" xfId="0" applyNumberFormat="1" applyFont="1" applyFill="1" applyBorder="1"/>
    <xf numFmtId="3" fontId="7" fillId="0" borderId="73" xfId="0" applyNumberFormat="1" applyFont="1" applyFill="1" applyBorder="1"/>
    <xf numFmtId="164" fontId="8" fillId="0" borderId="56" xfId="1" applyNumberFormat="1" applyFont="1" applyFill="1" applyBorder="1" applyAlignment="1">
      <alignment horizontal="center"/>
    </xf>
    <xf numFmtId="0" fontId="7" fillId="0" borderId="45" xfId="0" applyFont="1" applyBorder="1" applyAlignment="1">
      <alignment horizontal="center" vertical="center"/>
    </xf>
    <xf numFmtId="0" fontId="8" fillId="0" borderId="45"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67" xfId="0" applyFont="1" applyFill="1" applyBorder="1" applyAlignment="1">
      <alignment horizontal="center" vertical="center"/>
    </xf>
    <xf numFmtId="0" fontId="7" fillId="0" borderId="61" xfId="0" applyFont="1" applyBorder="1" applyAlignment="1">
      <alignment horizontal="center" vertical="center"/>
    </xf>
    <xf numFmtId="0" fontId="10" fillId="0" borderId="24" xfId="0" applyFont="1" applyFill="1" applyBorder="1" applyAlignment="1">
      <alignment horizontal="center"/>
    </xf>
    <xf numFmtId="0" fontId="10" fillId="0" borderId="5" xfId="0" applyFont="1" applyFill="1" applyBorder="1" applyAlignment="1">
      <alignment horizontal="center"/>
    </xf>
    <xf numFmtId="0" fontId="10" fillId="0" borderId="28" xfId="0" applyFont="1" applyFill="1" applyBorder="1" applyAlignment="1">
      <alignment horizontal="center"/>
    </xf>
    <xf numFmtId="0" fontId="10" fillId="0" borderId="8" xfId="0" applyFont="1" applyFill="1" applyBorder="1" applyAlignment="1">
      <alignment horizontal="center"/>
    </xf>
    <xf numFmtId="9" fontId="10" fillId="0" borderId="8" xfId="0" applyNumberFormat="1" applyFont="1" applyFill="1" applyBorder="1" applyAlignment="1">
      <alignment horizontal="center"/>
    </xf>
    <xf numFmtId="49" fontId="10" fillId="0" borderId="34" xfId="0" applyNumberFormat="1" applyFont="1" applyFill="1" applyBorder="1" applyAlignment="1">
      <alignment horizontal="center"/>
    </xf>
    <xf numFmtId="49" fontId="10" fillId="0" borderId="36" xfId="0" applyNumberFormat="1" applyFont="1" applyFill="1" applyBorder="1" applyAlignment="1">
      <alignment horizontal="center"/>
    </xf>
    <xf numFmtId="49" fontId="10" fillId="0" borderId="37" xfId="0" applyNumberFormat="1" applyFont="1" applyFill="1" applyBorder="1" applyAlignment="1">
      <alignment horizontal="center"/>
    </xf>
    <xf numFmtId="3" fontId="10" fillId="0" borderId="28" xfId="0" applyNumberFormat="1" applyFont="1" applyFill="1" applyBorder="1" applyAlignment="1">
      <alignment horizontal="center"/>
    </xf>
    <xf numFmtId="4" fontId="10" fillId="0" borderId="8" xfId="0" applyNumberFormat="1" applyFont="1" applyFill="1" applyBorder="1" applyAlignment="1">
      <alignment horizontal="center" vertical="center" wrapText="1"/>
    </xf>
    <xf numFmtId="0" fontId="10" fillId="0" borderId="36" xfId="0" applyFont="1" applyFill="1" applyBorder="1" applyAlignment="1">
      <alignment horizontal="center"/>
    </xf>
    <xf numFmtId="49" fontId="16" fillId="0" borderId="36" xfId="0" applyNumberFormat="1" applyFont="1" applyFill="1" applyBorder="1" applyAlignment="1">
      <alignment horizontal="center" vertical="center" wrapText="1"/>
    </xf>
    <xf numFmtId="49" fontId="16" fillId="0" borderId="37" xfId="0" applyNumberFormat="1" applyFont="1" applyFill="1" applyBorder="1" applyAlignment="1">
      <alignment horizontal="center" vertical="center" wrapText="1"/>
    </xf>
    <xf numFmtId="164" fontId="5" fillId="0" borderId="53" xfId="1" applyNumberFormat="1" applyFont="1" applyFill="1" applyBorder="1" applyAlignment="1">
      <alignment horizontal="center"/>
    </xf>
    <xf numFmtId="165" fontId="5" fillId="0" borderId="54" xfId="1" applyNumberFormat="1" applyFont="1" applyFill="1" applyBorder="1"/>
    <xf numFmtId="167" fontId="0" fillId="0" borderId="0" xfId="0" applyNumberFormat="1" applyFill="1" applyBorder="1"/>
    <xf numFmtId="0" fontId="34" fillId="0" borderId="0" xfId="0" applyFont="1" applyFill="1"/>
    <xf numFmtId="0" fontId="34" fillId="0" borderId="0" xfId="0" applyFont="1" applyFill="1" applyAlignment="1">
      <alignment horizontal="center"/>
    </xf>
    <xf numFmtId="4" fontId="34" fillId="0" borderId="0" xfId="0" applyNumberFormat="1" applyFont="1" applyFill="1" applyAlignment="1">
      <alignment horizontal="center"/>
    </xf>
    <xf numFmtId="0" fontId="19" fillId="0" borderId="0" xfId="0" applyFont="1" applyFill="1"/>
    <xf numFmtId="0" fontId="19" fillId="0" borderId="0" xfId="0" applyFont="1"/>
    <xf numFmtId="0" fontId="34" fillId="0" borderId="0" xfId="0" applyFont="1" applyBorder="1" applyAlignment="1">
      <alignment horizontal="center" vertical="center"/>
    </xf>
    <xf numFmtId="0" fontId="19" fillId="0" borderId="0" xfId="0" applyFont="1" applyAlignment="1"/>
    <xf numFmtId="0" fontId="18" fillId="0" borderId="0" xfId="0" applyFont="1"/>
    <xf numFmtId="0" fontId="18" fillId="0" borderId="0" xfId="0" applyFont="1" applyAlignment="1"/>
    <xf numFmtId="0" fontId="18" fillId="0" borderId="0" xfId="0" applyFont="1" applyFill="1"/>
    <xf numFmtId="0" fontId="36" fillId="0" borderId="0" xfId="0" applyFont="1" applyFill="1" applyAlignment="1"/>
    <xf numFmtId="0" fontId="35" fillId="0" borderId="0" xfId="0" applyFont="1" applyFill="1" applyBorder="1" applyAlignment="1">
      <alignment horizontal="left"/>
    </xf>
    <xf numFmtId="0" fontId="18" fillId="0" borderId="0" xfId="0" applyFont="1" applyBorder="1" applyAlignment="1">
      <alignment vertical="center"/>
    </xf>
    <xf numFmtId="2" fontId="0" fillId="0" borderId="23" xfId="0" applyNumberFormat="1" applyBorder="1"/>
    <xf numFmtId="0" fontId="37" fillId="0" borderId="0" xfId="0" applyFont="1" applyAlignment="1"/>
    <xf numFmtId="0" fontId="37" fillId="0" borderId="0" xfId="0" applyFont="1"/>
    <xf numFmtId="170" fontId="37" fillId="0" borderId="0" xfId="0" applyNumberFormat="1" applyFont="1" applyFill="1"/>
    <xf numFmtId="0" fontId="37" fillId="0" borderId="0" xfId="0" applyFont="1" applyFill="1"/>
    <xf numFmtId="4" fontId="37" fillId="0" borderId="0" xfId="0" applyNumberFormat="1" applyFont="1"/>
    <xf numFmtId="4" fontId="37" fillId="0" borderId="0" xfId="0" applyNumberFormat="1" applyFont="1" applyFill="1"/>
    <xf numFmtId="0" fontId="18" fillId="0" borderId="0" xfId="0" applyFont="1" applyAlignment="1">
      <alignment vertical="justify"/>
    </xf>
    <xf numFmtId="0" fontId="18" fillId="0" borderId="0" xfId="0" applyFont="1" applyAlignment="1">
      <alignment vertical="center" wrapText="1"/>
    </xf>
    <xf numFmtId="165" fontId="37" fillId="0" borderId="0" xfId="0" applyNumberFormat="1" applyFont="1" applyAlignment="1">
      <alignment vertical="center" wrapText="1"/>
    </xf>
    <xf numFmtId="0" fontId="18" fillId="0" borderId="0" xfId="0" applyFont="1" applyAlignment="1">
      <alignment horizontal="left" vertical="justify"/>
    </xf>
    <xf numFmtId="49" fontId="8" fillId="0" borderId="36" xfId="0" applyNumberFormat="1" applyFont="1" applyFill="1" applyBorder="1" applyAlignment="1">
      <alignment horizontal="center" vertical="justify"/>
    </xf>
    <xf numFmtId="49" fontId="8" fillId="0" borderId="37" xfId="0" applyNumberFormat="1" applyFont="1" applyFill="1" applyBorder="1" applyAlignment="1">
      <alignment horizontal="center" vertical="justify"/>
    </xf>
    <xf numFmtId="49" fontId="8" fillId="0" borderId="34" xfId="0" applyNumberFormat="1" applyFont="1" applyBorder="1" applyAlignment="1">
      <alignment horizontal="center" vertical="center" wrapText="1"/>
    </xf>
    <xf numFmtId="49" fontId="8" fillId="0" borderId="36" xfId="0" applyNumberFormat="1" applyFont="1" applyBorder="1" applyAlignment="1">
      <alignment horizontal="center" vertical="center" wrapText="1"/>
    </xf>
    <xf numFmtId="0" fontId="8" fillId="0" borderId="37" xfId="0" applyFont="1" applyBorder="1" applyAlignment="1">
      <alignment horizontal="center" vertical="center" wrapText="1"/>
    </xf>
    <xf numFmtId="49" fontId="8" fillId="0" borderId="37" xfId="0" applyNumberFormat="1" applyFont="1" applyBorder="1" applyAlignment="1">
      <alignment horizontal="center" vertical="center" wrapText="1"/>
    </xf>
    <xf numFmtId="0" fontId="40" fillId="0" borderId="0" xfId="2" applyFont="1" applyFill="1" applyBorder="1"/>
    <xf numFmtId="0" fontId="40" fillId="0" borderId="0" xfId="2" applyFont="1"/>
    <xf numFmtId="0" fontId="41" fillId="0" borderId="0" xfId="2" applyFont="1"/>
    <xf numFmtId="0" fontId="42" fillId="0" borderId="0" xfId="3" applyFont="1" applyFill="1" applyBorder="1"/>
    <xf numFmtId="0" fontId="42" fillId="0" borderId="0" xfId="3" applyFont="1"/>
    <xf numFmtId="0" fontId="42" fillId="0" borderId="0" xfId="2" applyFont="1" applyFill="1" applyBorder="1"/>
    <xf numFmtId="49" fontId="8" fillId="0" borderId="8" xfId="0" applyNumberFormat="1" applyFont="1" applyBorder="1" applyAlignment="1">
      <alignment horizontal="center" vertical="justify" wrapText="1"/>
    </xf>
    <xf numFmtId="10" fontId="0" fillId="0" borderId="0" xfId="0" applyNumberFormat="1"/>
    <xf numFmtId="3" fontId="7" fillId="0" borderId="4" xfId="0" applyNumberFormat="1" applyFont="1" applyFill="1" applyBorder="1"/>
    <xf numFmtId="0" fontId="7" fillId="0" borderId="0" xfId="0" applyFont="1" applyFill="1" applyBorder="1" applyAlignment="1">
      <alignment horizontal="left"/>
    </xf>
    <xf numFmtId="0" fontId="7" fillId="0" borderId="69" xfId="0" applyFont="1" applyFill="1" applyBorder="1" applyAlignment="1">
      <alignment horizontal="right"/>
    </xf>
    <xf numFmtId="0" fontId="7" fillId="0" borderId="0" xfId="0" applyFont="1" applyFill="1" applyBorder="1" applyAlignment="1">
      <alignment horizontal="right"/>
    </xf>
    <xf numFmtId="0" fontId="7" fillId="0" borderId="9" xfId="0" applyFont="1" applyFill="1" applyBorder="1" applyAlignment="1">
      <alignment horizontal="left"/>
    </xf>
    <xf numFmtId="4" fontId="7" fillId="0" borderId="30" xfId="0" applyNumberFormat="1" applyFont="1" applyFill="1" applyBorder="1" applyAlignment="1">
      <alignment horizontal="right"/>
    </xf>
    <xf numFmtId="0" fontId="7" fillId="0" borderId="20" xfId="0" applyFont="1" applyFill="1" applyBorder="1" applyAlignment="1">
      <alignment horizontal="left"/>
    </xf>
    <xf numFmtId="0" fontId="7" fillId="0" borderId="56" xfId="0" applyFont="1" applyFill="1" applyBorder="1" applyAlignment="1">
      <alignment horizontal="left"/>
    </xf>
    <xf numFmtId="0" fontId="7" fillId="0" borderId="21" xfId="0" applyFont="1" applyFill="1" applyBorder="1" applyAlignment="1">
      <alignment horizontal="left"/>
    </xf>
    <xf numFmtId="4" fontId="7" fillId="0" borderId="21" xfId="0" applyNumberFormat="1" applyFont="1" applyFill="1" applyBorder="1" applyAlignment="1">
      <alignment horizontal="right"/>
    </xf>
    <xf numFmtId="0" fontId="11" fillId="0" borderId="55" xfId="0" applyFont="1" applyFill="1" applyBorder="1" applyAlignment="1">
      <alignment horizontal="center"/>
    </xf>
    <xf numFmtId="0" fontId="11" fillId="0" borderId="57" xfId="0" applyFont="1" applyFill="1" applyBorder="1" applyAlignment="1">
      <alignment horizontal="center"/>
    </xf>
    <xf numFmtId="49" fontId="11" fillId="0" borderId="57" xfId="0" applyNumberFormat="1" applyFont="1" applyFill="1" applyBorder="1" applyAlignment="1">
      <alignment horizontal="center"/>
    </xf>
    <xf numFmtId="9" fontId="11" fillId="0" borderId="57" xfId="0" applyNumberFormat="1" applyFont="1" applyFill="1" applyBorder="1" applyAlignment="1">
      <alignment horizontal="center"/>
    </xf>
    <xf numFmtId="49" fontId="11" fillId="0" borderId="31" xfId="0" applyNumberFormat="1" applyFont="1" applyFill="1" applyBorder="1" applyAlignment="1">
      <alignment horizontal="center"/>
    </xf>
    <xf numFmtId="49" fontId="11" fillId="0" borderId="59" xfId="0" applyNumberFormat="1" applyFont="1" applyFill="1" applyBorder="1" applyAlignment="1">
      <alignment horizontal="center"/>
    </xf>
    <xf numFmtId="49" fontId="11" fillId="0" borderId="22" xfId="0" applyNumberFormat="1" applyFont="1" applyFill="1" applyBorder="1" applyAlignment="1">
      <alignment horizontal="center"/>
    </xf>
    <xf numFmtId="49" fontId="11" fillId="0" borderId="40" xfId="0" applyNumberFormat="1" applyFont="1" applyFill="1" applyBorder="1" applyAlignment="1">
      <alignment horizontal="center"/>
    </xf>
    <xf numFmtId="0" fontId="7" fillId="0" borderId="23" xfId="0" applyFont="1" applyFill="1" applyBorder="1"/>
    <xf numFmtId="164" fontId="7" fillId="0" borderId="23" xfId="1" applyNumberFormat="1" applyFont="1" applyFill="1" applyBorder="1" applyAlignment="1">
      <alignment horizontal="center"/>
    </xf>
    <xf numFmtId="41" fontId="7" fillId="0" borderId="57" xfId="1" applyNumberFormat="1" applyFont="1" applyFill="1" applyBorder="1"/>
    <xf numFmtId="167" fontId="7" fillId="0" borderId="0" xfId="0" applyNumberFormat="1" applyFont="1" applyFill="1" applyBorder="1" applyAlignment="1">
      <alignment horizontal="right" vertical="center"/>
    </xf>
    <xf numFmtId="167" fontId="7" fillId="0" borderId="57" xfId="0" applyNumberFormat="1" applyFont="1" applyFill="1" applyBorder="1" applyAlignment="1">
      <alignment horizontal="right" vertical="center"/>
    </xf>
    <xf numFmtId="167" fontId="7" fillId="0" borderId="23" xfId="0" applyNumberFormat="1" applyFont="1" applyFill="1" applyBorder="1" applyAlignment="1">
      <alignment horizontal="right" vertical="center"/>
    </xf>
    <xf numFmtId="167" fontId="7" fillId="0" borderId="55" xfId="0" applyNumberFormat="1" applyFont="1" applyFill="1" applyBorder="1" applyAlignment="1">
      <alignment horizontal="right" vertical="center"/>
    </xf>
    <xf numFmtId="167" fontId="7" fillId="0" borderId="30" xfId="0" applyNumberFormat="1" applyFont="1" applyFill="1" applyBorder="1"/>
    <xf numFmtId="167" fontId="7" fillId="0" borderId="57" xfId="0" applyNumberFormat="1" applyFont="1" applyFill="1" applyBorder="1"/>
    <xf numFmtId="3" fontId="7" fillId="0" borderId="57" xfId="0" applyNumberFormat="1" applyFont="1" applyFill="1" applyBorder="1"/>
    <xf numFmtId="0" fontId="8" fillId="0" borderId="20" xfId="0" applyFont="1" applyFill="1" applyBorder="1"/>
    <xf numFmtId="164" fontId="8" fillId="0" borderId="49" xfId="1" applyNumberFormat="1" applyFont="1" applyFill="1" applyBorder="1" applyAlignment="1">
      <alignment horizontal="center"/>
    </xf>
    <xf numFmtId="167" fontId="8" fillId="0" borderId="56" xfId="0" applyNumberFormat="1" applyFont="1" applyFill="1" applyBorder="1" applyAlignment="1">
      <alignment horizontal="right" vertical="center"/>
    </xf>
    <xf numFmtId="167" fontId="8" fillId="0" borderId="49" xfId="0" applyNumberFormat="1" applyFont="1" applyFill="1" applyBorder="1" applyAlignment="1">
      <alignment horizontal="right" vertical="center"/>
    </xf>
    <xf numFmtId="167" fontId="8" fillId="0" borderId="20" xfId="0" applyNumberFormat="1" applyFont="1" applyFill="1" applyBorder="1" applyAlignment="1">
      <alignment horizontal="right" vertical="center"/>
    </xf>
    <xf numFmtId="167" fontId="8" fillId="0" borderId="21" xfId="0" applyNumberFormat="1" applyFont="1" applyFill="1" applyBorder="1"/>
    <xf numFmtId="167" fontId="8" fillId="0" borderId="49" xfId="0" applyNumberFormat="1" applyFont="1" applyFill="1" applyBorder="1"/>
    <xf numFmtId="3" fontId="8" fillId="0" borderId="49" xfId="0" applyNumberFormat="1" applyFont="1" applyFill="1" applyBorder="1"/>
    <xf numFmtId="0" fontId="18" fillId="0" borderId="0" xfId="0" applyFont="1" applyAlignment="1">
      <alignment vertical="top"/>
    </xf>
    <xf numFmtId="173" fontId="0" fillId="0" borderId="0" xfId="0" applyNumberFormat="1" applyFill="1"/>
    <xf numFmtId="0" fontId="0" fillId="0" borderId="0" xfId="0" applyFill="1" applyAlignment="1">
      <alignment horizontal="center"/>
    </xf>
    <xf numFmtId="4" fontId="7" fillId="0" borderId="69" xfId="0" applyNumberFormat="1" applyFont="1" applyFill="1" applyBorder="1" applyAlignment="1"/>
    <xf numFmtId="4" fontId="7" fillId="0" borderId="0" xfId="0" applyNumberFormat="1" applyFont="1" applyFill="1" applyBorder="1" applyAlignment="1"/>
    <xf numFmtId="4" fontId="8" fillId="0" borderId="69" xfId="0" applyNumberFormat="1" applyFont="1" applyFill="1" applyBorder="1" applyAlignment="1"/>
    <xf numFmtId="4" fontId="8" fillId="0" borderId="0" xfId="0" applyNumberFormat="1" applyFont="1" applyFill="1" applyBorder="1" applyAlignment="1"/>
    <xf numFmtId="3" fontId="17" fillId="0" borderId="4" xfId="0" applyNumberFormat="1" applyFont="1" applyBorder="1"/>
    <xf numFmtId="4" fontId="7" fillId="0" borderId="69" xfId="0" applyNumberFormat="1" applyFont="1" applyFill="1" applyBorder="1" applyAlignment="1">
      <alignment horizontal="right"/>
    </xf>
    <xf numFmtId="1" fontId="10" fillId="0" borderId="8" xfId="0" applyNumberFormat="1" applyFont="1" applyFill="1" applyBorder="1" applyAlignment="1">
      <alignment horizontal="center"/>
    </xf>
    <xf numFmtId="9" fontId="7" fillId="0" borderId="69" xfId="0" applyNumberFormat="1" applyFont="1" applyFill="1" applyBorder="1" applyAlignment="1">
      <alignment horizontal="right"/>
    </xf>
    <xf numFmtId="4" fontId="12" fillId="0" borderId="0" xfId="0" applyNumberFormat="1" applyFont="1" applyFill="1" applyBorder="1" applyAlignment="1">
      <alignment horizontal="right"/>
    </xf>
    <xf numFmtId="9" fontId="7" fillId="0" borderId="69" xfId="0" applyNumberFormat="1" applyFont="1" applyFill="1" applyBorder="1" applyAlignment="1">
      <alignment horizontal="left"/>
    </xf>
    <xf numFmtId="0" fontId="7" fillId="0" borderId="70" xfId="0" applyFont="1" applyBorder="1" applyAlignment="1">
      <alignment horizontal="center" vertical="center"/>
    </xf>
    <xf numFmtId="0" fontId="7" fillId="0" borderId="28" xfId="0" applyFont="1" applyBorder="1" applyAlignment="1">
      <alignment horizontal="center" vertical="center"/>
    </xf>
    <xf numFmtId="0" fontId="7" fillId="0" borderId="39" xfId="0" applyFont="1" applyFill="1" applyBorder="1" applyAlignment="1">
      <alignment horizontal="right"/>
    </xf>
    <xf numFmtId="0" fontId="7" fillId="0" borderId="22" xfId="0" applyFont="1" applyFill="1" applyBorder="1" applyAlignment="1">
      <alignment horizontal="right"/>
    </xf>
    <xf numFmtId="4" fontId="7" fillId="0" borderId="40" xfId="0" applyNumberFormat="1" applyFont="1" applyFill="1" applyBorder="1" applyAlignment="1">
      <alignment horizontal="right"/>
    </xf>
    <xf numFmtId="0" fontId="7" fillId="0" borderId="31" xfId="0" applyFont="1" applyFill="1" applyBorder="1" applyAlignment="1">
      <alignment horizontal="center" vertical="center"/>
    </xf>
    <xf numFmtId="0" fontId="7" fillId="7" borderId="20" xfId="0" applyFont="1" applyFill="1" applyBorder="1" applyAlignment="1">
      <alignment horizontal="right"/>
    </xf>
    <xf numFmtId="0" fontId="7" fillId="7" borderId="56" xfId="0" applyFont="1" applyFill="1" applyBorder="1" applyAlignment="1">
      <alignment horizontal="right"/>
    </xf>
    <xf numFmtId="4" fontId="8" fillId="7" borderId="21" xfId="0" applyNumberFormat="1" applyFont="1" applyFill="1" applyBorder="1" applyAlignment="1">
      <alignment horizontal="right"/>
    </xf>
    <xf numFmtId="0" fontId="8" fillId="0" borderId="73" xfId="0" applyFont="1" applyFill="1" applyBorder="1" applyAlignment="1">
      <alignment horizontal="center"/>
    </xf>
    <xf numFmtId="0" fontId="8" fillId="0" borderId="14" xfId="0" applyFont="1" applyFill="1" applyBorder="1" applyAlignment="1">
      <alignment horizontal="center"/>
    </xf>
    <xf numFmtId="0" fontId="8" fillId="0" borderId="72" xfId="0" applyFont="1" applyFill="1" applyBorder="1" applyAlignment="1">
      <alignment horizontal="center"/>
    </xf>
    <xf numFmtId="0" fontId="7" fillId="0" borderId="73" xfId="0" applyFont="1" applyFill="1" applyBorder="1" applyAlignment="1">
      <alignment horizontal="right"/>
    </xf>
    <xf numFmtId="0" fontId="7" fillId="0" borderId="14" xfId="0" applyFont="1" applyFill="1" applyBorder="1" applyAlignment="1">
      <alignment horizontal="right"/>
    </xf>
    <xf numFmtId="0" fontId="7" fillId="0" borderId="58" xfId="0" applyFont="1" applyFill="1" applyBorder="1" applyAlignment="1">
      <alignment horizontal="right"/>
    </xf>
    <xf numFmtId="4" fontId="8" fillId="0" borderId="30" xfId="0" applyNumberFormat="1" applyFont="1" applyFill="1" applyBorder="1" applyAlignment="1">
      <alignment horizontal="right"/>
    </xf>
    <xf numFmtId="0" fontId="7" fillId="0" borderId="31" xfId="0" applyFont="1" applyBorder="1" applyAlignment="1">
      <alignment horizontal="center" vertical="center"/>
    </xf>
    <xf numFmtId="0" fontId="7" fillId="0" borderId="56" xfId="0" applyFont="1" applyFill="1" applyBorder="1" applyAlignment="1">
      <alignment horizontal="right"/>
    </xf>
    <xf numFmtId="4" fontId="8" fillId="0" borderId="21" xfId="0" applyNumberFormat="1" applyFont="1" applyFill="1" applyBorder="1" applyAlignment="1">
      <alignment horizontal="right"/>
    </xf>
    <xf numFmtId="0" fontId="7" fillId="7" borderId="20" xfId="0" applyFont="1" applyFill="1" applyBorder="1" applyAlignment="1">
      <alignment horizontal="left"/>
    </xf>
    <xf numFmtId="0" fontId="7" fillId="7" borderId="56" xfId="0" applyFont="1" applyFill="1" applyBorder="1" applyAlignment="1">
      <alignment horizontal="left"/>
    </xf>
    <xf numFmtId="0" fontId="7" fillId="7" borderId="21" xfId="0" applyFont="1" applyFill="1" applyBorder="1" applyAlignment="1">
      <alignment horizontal="left"/>
    </xf>
    <xf numFmtId="4" fontId="8" fillId="0" borderId="30" xfId="0" applyNumberFormat="1" applyFont="1" applyFill="1" applyBorder="1" applyAlignment="1"/>
    <xf numFmtId="0" fontId="7" fillId="0" borderId="20" xfId="0" applyFont="1" applyFill="1" applyBorder="1" applyAlignment="1">
      <alignment horizontal="right"/>
    </xf>
    <xf numFmtId="0" fontId="7" fillId="0" borderId="14" xfId="0" applyFont="1" applyFill="1" applyBorder="1" applyAlignment="1">
      <alignment horizontal="left"/>
    </xf>
    <xf numFmtId="4" fontId="7" fillId="0" borderId="30" xfId="0" applyNumberFormat="1" applyFont="1" applyFill="1" applyBorder="1" applyAlignment="1"/>
    <xf numFmtId="4" fontId="8" fillId="0" borderId="30" xfId="0" applyNumberFormat="1" applyFont="1" applyBorder="1"/>
    <xf numFmtId="0" fontId="7" fillId="0" borderId="13" xfId="0" applyFont="1" applyBorder="1" applyAlignment="1">
      <alignment horizontal="center" vertical="center"/>
    </xf>
    <xf numFmtId="0" fontId="7" fillId="0" borderId="73" xfId="0" applyFont="1" applyFill="1" applyBorder="1" applyAlignment="1">
      <alignment horizontal="left"/>
    </xf>
    <xf numFmtId="0" fontId="7" fillId="0" borderId="72" xfId="0" applyFont="1" applyFill="1" applyBorder="1" applyAlignment="1">
      <alignment horizontal="left"/>
    </xf>
    <xf numFmtId="0" fontId="7" fillId="0" borderId="23" xfId="0" applyFont="1" applyBorder="1" applyAlignment="1">
      <alignment horizontal="center" vertical="center"/>
    </xf>
    <xf numFmtId="0" fontId="7" fillId="0" borderId="10" xfId="0" applyFont="1" applyBorder="1" applyAlignment="1">
      <alignment horizontal="center" vertical="center"/>
    </xf>
    <xf numFmtId="0" fontId="7" fillId="0" borderId="23" xfId="0" applyFont="1" applyFill="1" applyBorder="1" applyAlignment="1">
      <alignment horizontal="center" vertical="center"/>
    </xf>
    <xf numFmtId="0" fontId="7" fillId="0" borderId="13" xfId="0" applyFont="1" applyFill="1" applyBorder="1" applyAlignment="1">
      <alignment horizontal="center" vertical="center"/>
    </xf>
    <xf numFmtId="4" fontId="0" fillId="0" borderId="0" xfId="0" applyNumberFormat="1" applyBorder="1"/>
    <xf numFmtId="4" fontId="18" fillId="0" borderId="0" xfId="0" applyNumberFormat="1" applyFont="1" applyBorder="1" applyAlignment="1">
      <alignment vertical="center"/>
    </xf>
    <xf numFmtId="4" fontId="7" fillId="7" borderId="20" xfId="0" applyNumberFormat="1" applyFont="1" applyFill="1" applyBorder="1" applyAlignment="1">
      <alignment horizontal="right"/>
    </xf>
    <xf numFmtId="0" fontId="8" fillId="0" borderId="37" xfId="0" applyFont="1" applyFill="1" applyBorder="1" applyAlignment="1">
      <alignment horizontal="center" vertical="center" wrapText="1"/>
    </xf>
    <xf numFmtId="0" fontId="28" fillId="0" borderId="0" xfId="4"/>
    <xf numFmtId="0" fontId="32" fillId="0" borderId="49" xfId="4" applyFont="1" applyBorder="1" applyAlignment="1">
      <alignment horizontal="center" vertical="center" wrapText="1"/>
    </xf>
    <xf numFmtId="0" fontId="32" fillId="0" borderId="56" xfId="4" applyFont="1" applyBorder="1" applyAlignment="1">
      <alignment wrapText="1"/>
    </xf>
    <xf numFmtId="0" fontId="32" fillId="0" borderId="56" xfId="4" applyFont="1" applyBorder="1" applyAlignment="1">
      <alignment horizontal="center" vertical="center" wrapText="1"/>
    </xf>
    <xf numFmtId="0" fontId="32" fillId="0" borderId="21" xfId="4" applyFont="1" applyBorder="1" applyAlignment="1">
      <alignment horizontal="center" vertical="center" wrapText="1"/>
    </xf>
    <xf numFmtId="0" fontId="32" fillId="0" borderId="57" xfId="4" applyFont="1" applyBorder="1"/>
    <xf numFmtId="167" fontId="32" fillId="0" borderId="0" xfId="4" applyNumberFormat="1" applyFont="1" applyBorder="1"/>
    <xf numFmtId="3" fontId="32" fillId="0" borderId="57" xfId="4" applyNumberFormat="1" applyFont="1" applyBorder="1"/>
    <xf numFmtId="3" fontId="32" fillId="0" borderId="30" xfId="4" applyNumberFormat="1" applyFont="1" applyBorder="1"/>
    <xf numFmtId="4" fontId="28" fillId="0" borderId="0" xfId="4" applyNumberFormat="1"/>
    <xf numFmtId="0" fontId="32" fillId="0" borderId="49" xfId="4" applyFont="1" applyBorder="1"/>
    <xf numFmtId="10" fontId="32" fillId="0" borderId="49" xfId="4" applyNumberFormat="1" applyFont="1" applyBorder="1" applyAlignment="1">
      <alignment horizontal="right"/>
    </xf>
    <xf numFmtId="3" fontId="33" fillId="0" borderId="49" xfId="4" applyNumberFormat="1" applyFont="1" applyBorder="1"/>
    <xf numFmtId="0" fontId="32" fillId="0" borderId="0" xfId="4" applyFont="1"/>
    <xf numFmtId="0" fontId="32" fillId="0" borderId="0" xfId="4" applyFont="1" applyFill="1" applyBorder="1"/>
    <xf numFmtId="4" fontId="32" fillId="0" borderId="49" xfId="4" applyNumberFormat="1" applyFont="1" applyBorder="1" applyAlignment="1">
      <alignment horizontal="right"/>
    </xf>
    <xf numFmtId="10" fontId="32" fillId="0" borderId="55" xfId="4" applyNumberFormat="1" applyFont="1" applyBorder="1" applyAlignment="1">
      <alignment horizontal="right"/>
    </xf>
    <xf numFmtId="10" fontId="32" fillId="0" borderId="57" xfId="4" applyNumberFormat="1" applyFont="1" applyBorder="1" applyAlignment="1">
      <alignment horizontal="right"/>
    </xf>
    <xf numFmtId="10" fontId="32" fillId="0" borderId="59" xfId="4" applyNumberFormat="1" applyFont="1" applyBorder="1" applyAlignment="1">
      <alignment horizontal="right"/>
    </xf>
    <xf numFmtId="10" fontId="32" fillId="8" borderId="57" xfId="4" applyNumberFormat="1" applyFont="1" applyFill="1" applyBorder="1" applyAlignment="1">
      <alignment horizontal="right"/>
    </xf>
    <xf numFmtId="4" fontId="32" fillId="0" borderId="0" xfId="4" applyNumberFormat="1" applyFont="1"/>
    <xf numFmtId="0" fontId="32" fillId="0" borderId="10" xfId="4" applyFont="1" applyBorder="1"/>
    <xf numFmtId="4" fontId="32" fillId="0" borderId="10" xfId="4" applyNumberFormat="1" applyFont="1" applyBorder="1"/>
    <xf numFmtId="0" fontId="32" fillId="0" borderId="4" xfId="4" applyFont="1" applyBorder="1"/>
    <xf numFmtId="4" fontId="32" fillId="0" borderId="4" xfId="4" applyNumberFormat="1" applyFont="1" applyBorder="1"/>
    <xf numFmtId="10" fontId="32" fillId="0" borderId="0" xfId="4" applyNumberFormat="1" applyFont="1" applyBorder="1"/>
    <xf numFmtId="10" fontId="32" fillId="0" borderId="49" xfId="4" applyNumberFormat="1" applyFont="1" applyBorder="1"/>
    <xf numFmtId="0" fontId="32" fillId="9" borderId="49" xfId="4" applyFont="1" applyFill="1" applyBorder="1" applyAlignment="1">
      <alignment horizontal="center" vertical="center" wrapText="1"/>
    </xf>
    <xf numFmtId="0" fontId="32" fillId="9" borderId="56" xfId="4" applyFont="1" applyFill="1" applyBorder="1" applyAlignment="1">
      <alignment wrapText="1"/>
    </xf>
    <xf numFmtId="0" fontId="32" fillId="9" borderId="56" xfId="4" applyFont="1" applyFill="1" applyBorder="1" applyAlignment="1">
      <alignment horizontal="center" vertical="center" wrapText="1"/>
    </xf>
    <xf numFmtId="0" fontId="32" fillId="9" borderId="21" xfId="4" applyFont="1" applyFill="1" applyBorder="1" applyAlignment="1">
      <alignment horizontal="center" vertical="center" wrapText="1"/>
    </xf>
    <xf numFmtId="167" fontId="32" fillId="0" borderId="55" xfId="4" applyNumberFormat="1" applyFont="1" applyBorder="1" applyAlignment="1">
      <alignment horizontal="right"/>
    </xf>
    <xf numFmtId="4" fontId="32" fillId="0" borderId="57" xfId="4" applyNumberFormat="1" applyFont="1" applyBorder="1"/>
    <xf numFmtId="4" fontId="32" fillId="0" borderId="0" xfId="4" applyNumberFormat="1" applyFont="1" applyBorder="1"/>
    <xf numFmtId="4" fontId="32" fillId="0" borderId="55" xfId="4" applyNumberFormat="1" applyFont="1" applyBorder="1"/>
    <xf numFmtId="4" fontId="32" fillId="0" borderId="30" xfId="4" applyNumberFormat="1" applyFont="1" applyBorder="1"/>
    <xf numFmtId="167" fontId="32" fillId="0" borderId="57" xfId="4" applyNumberFormat="1" applyFont="1" applyBorder="1" applyAlignment="1">
      <alignment horizontal="right"/>
    </xf>
    <xf numFmtId="167" fontId="32" fillId="0" borderId="59" xfId="4" applyNumberFormat="1" applyFont="1" applyBorder="1" applyAlignment="1">
      <alignment horizontal="right"/>
    </xf>
    <xf numFmtId="4" fontId="32" fillId="0" borderId="59" xfId="4" applyNumberFormat="1" applyFont="1" applyBorder="1"/>
    <xf numFmtId="167" fontId="32" fillId="0" borderId="49" xfId="4" applyNumberFormat="1" applyFont="1" applyBorder="1" applyAlignment="1">
      <alignment horizontal="right"/>
    </xf>
    <xf numFmtId="4" fontId="33" fillId="0" borderId="49" xfId="4" applyNumberFormat="1" applyFont="1" applyBorder="1"/>
    <xf numFmtId="4" fontId="30" fillId="9" borderId="4" xfId="4" applyNumberFormat="1" applyFont="1" applyFill="1" applyBorder="1"/>
    <xf numFmtId="167" fontId="43" fillId="0" borderId="4" xfId="4" applyNumberFormat="1" applyFont="1" applyBorder="1" applyAlignment="1">
      <alignment horizontal="right" vertical="center"/>
    </xf>
    <xf numFmtId="4" fontId="31" fillId="0" borderId="4" xfId="4" applyNumberFormat="1" applyFont="1" applyBorder="1"/>
    <xf numFmtId="3" fontId="32" fillId="0" borderId="49" xfId="4" applyNumberFormat="1" applyFont="1" applyBorder="1"/>
    <xf numFmtId="0" fontId="43" fillId="0" borderId="0" xfId="4" applyFont="1"/>
    <xf numFmtId="9" fontId="43" fillId="0" borderId="0" xfId="4" applyNumberFormat="1" applyFont="1"/>
    <xf numFmtId="0" fontId="32" fillId="0" borderId="56" xfId="4" applyFont="1" applyBorder="1" applyAlignment="1">
      <alignment horizontal="center" wrapText="1"/>
    </xf>
    <xf numFmtId="9" fontId="28" fillId="0" borderId="0" xfId="4" applyNumberFormat="1"/>
    <xf numFmtId="167" fontId="32" fillId="0" borderId="49" xfId="4" applyNumberFormat="1" applyFont="1" applyBorder="1"/>
    <xf numFmtId="0" fontId="30" fillId="0" borderId="13" xfId="4" applyFont="1" applyBorder="1"/>
    <xf numFmtId="0" fontId="30" fillId="0" borderId="14" xfId="4" applyFont="1" applyBorder="1"/>
    <xf numFmtId="4" fontId="33" fillId="0" borderId="58" xfId="4" applyNumberFormat="1" applyFont="1" applyBorder="1"/>
    <xf numFmtId="0" fontId="30" fillId="0" borderId="23" xfId="4" applyFont="1" applyBorder="1"/>
    <xf numFmtId="0" fontId="30" fillId="0" borderId="0" xfId="4" applyFont="1" applyBorder="1"/>
    <xf numFmtId="4" fontId="33" fillId="0" borderId="0" xfId="4" applyNumberFormat="1" applyFont="1" applyBorder="1"/>
    <xf numFmtId="4" fontId="33" fillId="0" borderId="30" xfId="4" applyNumberFormat="1" applyFont="1" applyBorder="1"/>
    <xf numFmtId="0" fontId="30" fillId="0" borderId="31" xfId="4" applyFont="1" applyBorder="1"/>
    <xf numFmtId="0" fontId="30" fillId="0" borderId="22" xfId="4" applyFont="1" applyBorder="1"/>
    <xf numFmtId="4" fontId="33" fillId="0" borderId="22" xfId="4" applyNumberFormat="1" applyFont="1" applyBorder="1"/>
    <xf numFmtId="4" fontId="33" fillId="0" borderId="40" xfId="4" applyNumberFormat="1" applyFont="1" applyBorder="1"/>
    <xf numFmtId="0" fontId="6" fillId="0" borderId="0" xfId="0" applyFont="1" applyFill="1" applyBorder="1"/>
    <xf numFmtId="49" fontId="2" fillId="0" borderId="0" xfId="0" applyNumberFormat="1" applyFont="1" applyFill="1" applyBorder="1" applyAlignment="1">
      <alignment horizontal="right"/>
    </xf>
    <xf numFmtId="49" fontId="6" fillId="0" borderId="0" xfId="0" applyNumberFormat="1" applyFont="1" applyFill="1" applyBorder="1" applyAlignment="1">
      <alignment horizontal="right"/>
    </xf>
    <xf numFmtId="49" fontId="2" fillId="0" borderId="0" xfId="0" applyNumberFormat="1" applyFont="1" applyFill="1" applyBorder="1"/>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49" fontId="6" fillId="0" borderId="0" xfId="0" applyNumberFormat="1" applyFont="1" applyFill="1" applyBorder="1"/>
    <xf numFmtId="0" fontId="39" fillId="0" borderId="0" xfId="0" applyFont="1"/>
    <xf numFmtId="0" fontId="11" fillId="0" borderId="0" xfId="0" applyFont="1" applyFill="1" applyBorder="1" applyAlignment="1">
      <alignment horizontal="left"/>
    </xf>
    <xf numFmtId="170" fontId="7" fillId="0" borderId="0" xfId="0" applyNumberFormat="1" applyFont="1" applyFill="1"/>
    <xf numFmtId="4" fontId="8" fillId="0" borderId="0" xfId="0" applyNumberFormat="1" applyFont="1"/>
    <xf numFmtId="4" fontId="8" fillId="0" borderId="0" xfId="0" applyNumberFormat="1" applyFont="1" applyFill="1"/>
    <xf numFmtId="0" fontId="39" fillId="0" borderId="0" xfId="0" applyFont="1" applyFill="1"/>
    <xf numFmtId="0" fontId="10" fillId="0" borderId="5" xfId="0" applyFont="1" applyBorder="1" applyAlignment="1">
      <alignment horizontal="center"/>
    </xf>
    <xf numFmtId="0" fontId="10" fillId="0" borderId="5" xfId="0" applyFont="1" applyBorder="1" applyAlignment="1">
      <alignment horizontal="center" vertical="center"/>
    </xf>
    <xf numFmtId="0" fontId="10" fillId="0" borderId="8" xfId="0" applyFont="1" applyBorder="1" applyAlignment="1">
      <alignment horizontal="center"/>
    </xf>
    <xf numFmtId="0" fontId="10" fillId="0" borderId="8" xfId="0" applyFont="1" applyBorder="1" applyAlignment="1">
      <alignment horizontal="center" vertical="center"/>
    </xf>
    <xf numFmtId="49" fontId="10" fillId="0" borderId="8" xfId="0" applyNumberFormat="1" applyFont="1" applyBorder="1" applyAlignment="1">
      <alignment horizontal="center"/>
    </xf>
    <xf numFmtId="49" fontId="10" fillId="0" borderId="10" xfId="0" applyNumberFormat="1" applyFont="1" applyBorder="1" applyAlignment="1">
      <alignment horizontal="center"/>
    </xf>
    <xf numFmtId="0" fontId="39" fillId="0" borderId="26" xfId="0" applyFont="1" applyBorder="1"/>
    <xf numFmtId="164" fontId="39" fillId="0" borderId="6" xfId="1" applyNumberFormat="1" applyFont="1" applyBorder="1" applyAlignment="1">
      <alignment horizontal="center"/>
    </xf>
    <xf numFmtId="4" fontId="39" fillId="0" borderId="6" xfId="0" applyNumberFormat="1" applyFont="1" applyBorder="1"/>
    <xf numFmtId="4" fontId="39" fillId="0" borderId="0" xfId="0" applyNumberFormat="1" applyFont="1"/>
    <xf numFmtId="4" fontId="44" fillId="0" borderId="0" xfId="0" applyNumberFormat="1" applyFont="1"/>
    <xf numFmtId="0" fontId="39" fillId="0" borderId="69" xfId="0" applyFont="1" applyBorder="1"/>
    <xf numFmtId="164" fontId="39" fillId="0" borderId="0" xfId="1" applyNumberFormat="1" applyFont="1" applyBorder="1" applyAlignment="1">
      <alignment horizontal="center"/>
    </xf>
    <xf numFmtId="4" fontId="39" fillId="0" borderId="0" xfId="0" applyNumberFormat="1" applyFont="1" applyBorder="1"/>
    <xf numFmtId="0" fontId="10" fillId="0" borderId="4" xfId="0" applyFont="1" applyBorder="1"/>
    <xf numFmtId="164" fontId="10" fillId="0" borderId="4" xfId="1" applyNumberFormat="1" applyFont="1" applyBorder="1" applyAlignment="1">
      <alignment horizontal="center"/>
    </xf>
    <xf numFmtId="4" fontId="10" fillId="0" borderId="4" xfId="0" applyNumberFormat="1" applyFont="1" applyBorder="1"/>
    <xf numFmtId="2" fontId="10" fillId="0" borderId="4" xfId="0" applyNumberFormat="1" applyFont="1" applyBorder="1"/>
    <xf numFmtId="0" fontId="30" fillId="0" borderId="0" xfId="4" applyFont="1" applyAlignment="1"/>
    <xf numFmtId="0" fontId="28" fillId="0" borderId="0" xfId="4" applyFont="1" applyAlignment="1">
      <alignment horizontal="center"/>
    </xf>
    <xf numFmtId="0" fontId="28" fillId="0" borderId="0" xfId="4" applyFill="1" applyAlignment="1">
      <alignment horizontal="center"/>
    </xf>
    <xf numFmtId="0" fontId="28" fillId="0" borderId="49" xfId="4" applyBorder="1" applyAlignment="1">
      <alignment horizontal="center"/>
    </xf>
    <xf numFmtId="0" fontId="28" fillId="0" borderId="49" xfId="4" applyFill="1" applyBorder="1" applyAlignment="1">
      <alignment horizontal="center"/>
    </xf>
    <xf numFmtId="4" fontId="28" fillId="0" borderId="49" xfId="4" applyNumberFormat="1" applyBorder="1"/>
    <xf numFmtId="4" fontId="12" fillId="0" borderId="49" xfId="5" applyNumberFormat="1" applyFont="1" applyFill="1" applyBorder="1" applyAlignment="1">
      <alignment horizontal="right" vertical="center"/>
    </xf>
    <xf numFmtId="4" fontId="28" fillId="6" borderId="0" xfId="4" applyNumberFormat="1" applyFill="1"/>
    <xf numFmtId="3" fontId="12" fillId="0" borderId="0" xfId="5" applyNumberFormat="1" applyFont="1" applyFill="1" applyBorder="1" applyAlignment="1">
      <alignment horizontal="right" vertical="center"/>
    </xf>
    <xf numFmtId="3" fontId="12" fillId="0" borderId="59" xfId="5" applyNumberFormat="1" applyFont="1" applyFill="1" applyBorder="1" applyAlignment="1">
      <alignment horizontal="right" vertical="center"/>
    </xf>
    <xf numFmtId="3" fontId="12" fillId="0" borderId="31" xfId="5" applyNumberFormat="1" applyFont="1" applyFill="1" applyBorder="1" applyAlignment="1">
      <alignment horizontal="right" vertical="center"/>
    </xf>
    <xf numFmtId="10" fontId="28" fillId="0" borderId="49" xfId="4" applyNumberFormat="1" applyBorder="1"/>
    <xf numFmtId="10" fontId="28" fillId="0" borderId="0" xfId="4" applyNumberFormat="1" applyFill="1"/>
    <xf numFmtId="10" fontId="28" fillId="0" borderId="59" xfId="4" applyNumberFormat="1" applyFill="1" applyBorder="1"/>
    <xf numFmtId="4" fontId="28" fillId="0" borderId="49" xfId="4" applyNumberFormat="1" applyFill="1" applyBorder="1"/>
    <xf numFmtId="4" fontId="28" fillId="0" borderId="0" xfId="4" applyNumberFormat="1" applyBorder="1"/>
    <xf numFmtId="4" fontId="28" fillId="0" borderId="0" xfId="4" applyNumberFormat="1" applyFill="1" applyBorder="1"/>
    <xf numFmtId="0" fontId="28" fillId="0" borderId="49" xfId="4" applyFont="1" applyBorder="1"/>
    <xf numFmtId="4" fontId="28" fillId="0" borderId="0" xfId="4" applyNumberFormat="1" applyFill="1"/>
    <xf numFmtId="0" fontId="28" fillId="0" borderId="22" xfId="4" applyBorder="1" applyAlignment="1"/>
    <xf numFmtId="0" fontId="28" fillId="0" borderId="22" xfId="4" applyFill="1" applyBorder="1" applyAlignment="1"/>
    <xf numFmtId="3" fontId="12" fillId="0" borderId="49" xfId="5" applyNumberFormat="1" applyFont="1" applyFill="1" applyBorder="1" applyAlignment="1">
      <alignment horizontal="right" vertical="center"/>
    </xf>
    <xf numFmtId="3" fontId="28" fillId="0" borderId="0" xfId="4" applyNumberFormat="1" applyFill="1" applyBorder="1"/>
    <xf numFmtId="9" fontId="28" fillId="0" borderId="0" xfId="4" applyNumberFormat="1" applyFont="1" applyBorder="1"/>
    <xf numFmtId="3" fontId="28" fillId="0" borderId="0" xfId="4" applyNumberFormat="1"/>
    <xf numFmtId="3" fontId="28" fillId="0" borderId="0" xfId="4" applyNumberFormat="1" applyBorder="1"/>
    <xf numFmtId="10" fontId="28" fillId="0" borderId="49" xfId="4" applyNumberFormat="1" applyFill="1" applyBorder="1"/>
    <xf numFmtId="4" fontId="22" fillId="0" borderId="49" xfId="4" applyNumberFormat="1" applyFont="1" applyFill="1" applyBorder="1" applyAlignment="1">
      <alignment horizontal="right"/>
    </xf>
    <xf numFmtId="0" fontId="28" fillId="0" borderId="0" xfId="4" applyFont="1" applyBorder="1"/>
    <xf numFmtId="0" fontId="28" fillId="0" borderId="0" xfId="4" applyFill="1"/>
    <xf numFmtId="3" fontId="12" fillId="0" borderId="0" xfId="5" applyNumberFormat="1" applyFont="1" applyFill="1" applyAlignment="1">
      <alignment horizontal="right" vertical="center"/>
    </xf>
    <xf numFmtId="4" fontId="22" fillId="0" borderId="0" xfId="4" applyNumberFormat="1" applyFont="1" applyFill="1" applyAlignment="1">
      <alignment horizontal="right"/>
    </xf>
    <xf numFmtId="0" fontId="28" fillId="0" borderId="0" xfId="4" applyFont="1" applyFill="1" applyAlignment="1">
      <alignment horizontal="center"/>
    </xf>
    <xf numFmtId="0" fontId="28" fillId="0" borderId="49" xfId="4" applyFont="1" applyFill="1" applyBorder="1"/>
    <xf numFmtId="0" fontId="28" fillId="0" borderId="0" xfId="4" applyBorder="1" applyAlignment="1"/>
    <xf numFmtId="3" fontId="28" fillId="0" borderId="22" xfId="4" applyNumberFormat="1" applyBorder="1" applyAlignment="1"/>
    <xf numFmtId="167" fontId="28" fillId="0" borderId="22" xfId="4" applyNumberFormat="1" applyFill="1" applyBorder="1" applyAlignment="1"/>
    <xf numFmtId="10" fontId="28" fillId="0" borderId="0" xfId="4" applyNumberFormat="1"/>
    <xf numFmtId="4" fontId="28" fillId="0" borderId="20" xfId="4" applyNumberFormat="1" applyFill="1" applyBorder="1"/>
    <xf numFmtId="4" fontId="28" fillId="6" borderId="49" xfId="4" applyNumberFormat="1" applyFill="1" applyBorder="1"/>
    <xf numFmtId="4" fontId="28" fillId="0" borderId="49" xfId="4" applyNumberFormat="1" applyFont="1" applyFill="1" applyBorder="1"/>
    <xf numFmtId="4" fontId="28" fillId="0" borderId="49" xfId="4" applyNumberFormat="1" applyFont="1" applyBorder="1"/>
    <xf numFmtId="0" fontId="30" fillId="0" borderId="0" xfId="4" applyFont="1" applyFill="1"/>
    <xf numFmtId="4" fontId="30" fillId="0" borderId="49" xfId="4" applyNumberFormat="1" applyFont="1" applyBorder="1"/>
    <xf numFmtId="4" fontId="30" fillId="0" borderId="49" xfId="4" applyNumberFormat="1" applyFont="1" applyFill="1" applyBorder="1"/>
    <xf numFmtId="4" fontId="28" fillId="0" borderId="14" xfId="4" applyNumberFormat="1" applyFill="1" applyBorder="1"/>
    <xf numFmtId="4" fontId="28" fillId="0" borderId="22" xfId="4" applyNumberFormat="1" applyFill="1" applyBorder="1"/>
    <xf numFmtId="3" fontId="28" fillId="0" borderId="0" xfId="4" applyNumberFormat="1" applyFill="1"/>
    <xf numFmtId="0" fontId="30" fillId="0" borderId="20" xfId="4" applyFont="1" applyFill="1" applyBorder="1"/>
    <xf numFmtId="0" fontId="30" fillId="0" borderId="21" xfId="4" applyFont="1" applyFill="1" applyBorder="1"/>
    <xf numFmtId="4" fontId="30" fillId="13" borderId="49" xfId="4" applyNumberFormat="1" applyFont="1" applyFill="1" applyBorder="1"/>
    <xf numFmtId="0" fontId="30" fillId="0" borderId="0" xfId="4" applyFont="1"/>
    <xf numFmtId="3" fontId="28" fillId="0" borderId="0" xfId="2" applyNumberFormat="1"/>
    <xf numFmtId="4" fontId="28" fillId="0" borderId="0" xfId="2" applyNumberFormat="1"/>
    <xf numFmtId="0" fontId="33" fillId="9" borderId="4" xfId="4" applyFont="1" applyFill="1" applyBorder="1"/>
    <xf numFmtId="0" fontId="33" fillId="9" borderId="1" xfId="4" applyFont="1" applyFill="1" applyBorder="1"/>
    <xf numFmtId="0" fontId="33" fillId="9" borderId="3" xfId="4" applyFont="1" applyFill="1" applyBorder="1"/>
    <xf numFmtId="0" fontId="32" fillId="0" borderId="56" xfId="2" applyFont="1" applyFill="1" applyBorder="1" applyAlignment="1">
      <alignment horizontal="center" wrapText="1"/>
    </xf>
    <xf numFmtId="3" fontId="7" fillId="0" borderId="36" xfId="0" applyNumberFormat="1" applyFont="1" applyBorder="1"/>
    <xf numFmtId="3" fontId="7" fillId="0" borderId="75" xfId="0" applyNumberFormat="1" applyFont="1" applyFill="1" applyBorder="1"/>
    <xf numFmtId="3" fontId="7" fillId="0" borderId="76" xfId="0" applyNumberFormat="1" applyFont="1" applyFill="1" applyBorder="1"/>
    <xf numFmtId="3" fontId="7" fillId="0" borderId="47" xfId="0" applyNumberFormat="1" applyFont="1" applyFill="1" applyBorder="1"/>
    <xf numFmtId="3" fontId="7" fillId="0" borderId="32" xfId="0" applyNumberFormat="1" applyFont="1" applyFill="1" applyBorder="1"/>
    <xf numFmtId="3" fontId="7" fillId="0" borderId="64" xfId="0" applyNumberFormat="1" applyFont="1" applyFill="1" applyBorder="1"/>
    <xf numFmtId="3" fontId="7" fillId="5" borderId="1" xfId="0" applyNumberFormat="1" applyFont="1" applyFill="1" applyBorder="1"/>
    <xf numFmtId="3" fontId="7" fillId="0" borderId="74" xfId="0" applyNumberFormat="1" applyFont="1" applyFill="1" applyBorder="1"/>
    <xf numFmtId="3" fontId="7" fillId="0" borderId="46" xfId="0" applyNumberFormat="1" applyFont="1" applyFill="1" applyBorder="1"/>
    <xf numFmtId="3" fontId="7" fillId="0" borderId="63" xfId="0" applyNumberFormat="1" applyFont="1" applyFill="1" applyBorder="1"/>
    <xf numFmtId="3" fontId="8" fillId="0" borderId="1" xfId="0" applyNumberFormat="1" applyFont="1" applyBorder="1"/>
    <xf numFmtId="3" fontId="8" fillId="0" borderId="49" xfId="0" applyNumberFormat="1" applyFont="1" applyBorder="1"/>
    <xf numFmtId="3" fontId="25" fillId="0" borderId="49" xfId="0" applyNumberFormat="1" applyFont="1" applyBorder="1"/>
    <xf numFmtId="0" fontId="7" fillId="0" borderId="5" xfId="0" applyFont="1" applyBorder="1"/>
    <xf numFmtId="168" fontId="7" fillId="0" borderId="5" xfId="1" applyNumberFormat="1" applyFont="1" applyBorder="1"/>
    <xf numFmtId="171" fontId="7" fillId="0" borderId="5" xfId="1" applyNumberFormat="1" applyFont="1" applyBorder="1"/>
    <xf numFmtId="167" fontId="7" fillId="0" borderId="5" xfId="0" applyNumberFormat="1" applyFont="1" applyBorder="1" applyAlignment="1">
      <alignment horizontal="center"/>
    </xf>
    <xf numFmtId="3" fontId="7" fillId="0" borderId="5" xfId="0" applyNumberFormat="1" applyFont="1" applyBorder="1" applyAlignment="1">
      <alignment horizontal="right"/>
    </xf>
    <xf numFmtId="0" fontId="7" fillId="0" borderId="8" xfId="0" applyFont="1" applyBorder="1"/>
    <xf numFmtId="168" fontId="7" fillId="0" borderId="8" xfId="1" applyNumberFormat="1" applyFont="1" applyBorder="1"/>
    <xf numFmtId="171" fontId="7" fillId="0" borderId="8" xfId="1" applyNumberFormat="1" applyFont="1" applyBorder="1"/>
    <xf numFmtId="167" fontId="7" fillId="0" borderId="8" xfId="0" applyNumberFormat="1" applyFont="1" applyBorder="1" applyAlignment="1">
      <alignment horizontal="center"/>
    </xf>
    <xf numFmtId="0" fontId="7" fillId="0" borderId="10" xfId="0" applyFont="1" applyBorder="1"/>
    <xf numFmtId="168" fontId="7" fillId="0" borderId="10" xfId="1" applyNumberFormat="1" applyFont="1" applyBorder="1"/>
    <xf numFmtId="171" fontId="7" fillId="0" borderId="10" xfId="1" applyNumberFormat="1" applyFont="1" applyBorder="1"/>
    <xf numFmtId="167" fontId="7" fillId="0" borderId="10" xfId="0" applyNumberFormat="1" applyFont="1" applyBorder="1" applyAlignment="1">
      <alignment horizontal="center"/>
    </xf>
    <xf numFmtId="3" fontId="7" fillId="0" borderId="10" xfId="0" applyNumberFormat="1" applyFont="1" applyBorder="1" applyAlignment="1">
      <alignment horizontal="right"/>
    </xf>
    <xf numFmtId="0" fontId="8" fillId="0" borderId="0" xfId="0" applyFont="1" applyAlignment="1">
      <alignment horizontal="center"/>
    </xf>
    <xf numFmtId="0" fontId="8" fillId="0" borderId="55" xfId="0" applyFont="1" applyBorder="1" applyAlignment="1">
      <alignment horizontal="center" vertical="center" wrapText="1"/>
    </xf>
    <xf numFmtId="0" fontId="7" fillId="0" borderId="23" xfId="0" applyFont="1" applyFill="1" applyBorder="1" applyAlignment="1">
      <alignment horizontal="left"/>
    </xf>
    <xf numFmtId="0" fontId="7" fillId="0" borderId="0" xfId="0" applyFont="1" applyFill="1" applyBorder="1" applyAlignment="1">
      <alignment horizontal="left"/>
    </xf>
    <xf numFmtId="0" fontId="7" fillId="0" borderId="30" xfId="0" applyFont="1" applyFill="1" applyBorder="1" applyAlignment="1">
      <alignment horizontal="left"/>
    </xf>
    <xf numFmtId="4" fontId="7" fillId="0" borderId="0" xfId="0" applyNumberFormat="1" applyFont="1" applyFill="1" applyBorder="1" applyAlignment="1">
      <alignment horizontal="right"/>
    </xf>
    <xf numFmtId="0" fontId="8" fillId="0" borderId="0" xfId="0" applyFont="1" applyFill="1" applyBorder="1" applyAlignment="1">
      <alignment horizontal="left"/>
    </xf>
    <xf numFmtId="0" fontId="7" fillId="0" borderId="23" xfId="0" applyFont="1" applyFill="1" applyBorder="1" applyAlignment="1">
      <alignment horizontal="right"/>
    </xf>
    <xf numFmtId="0" fontId="7" fillId="0" borderId="0" xfId="0" applyFont="1" applyFill="1" applyBorder="1" applyAlignment="1">
      <alignment horizontal="right"/>
    </xf>
    <xf numFmtId="0" fontId="10" fillId="0" borderId="13" xfId="0" applyFont="1" applyFill="1" applyBorder="1" applyAlignment="1">
      <alignment horizontal="center"/>
    </xf>
    <xf numFmtId="0" fontId="10" fillId="0" borderId="55" xfId="0" applyFont="1" applyFill="1" applyBorder="1" applyAlignment="1">
      <alignment horizontal="center"/>
    </xf>
    <xf numFmtId="0" fontId="10" fillId="0" borderId="23" xfId="0" applyFont="1" applyFill="1" applyBorder="1" applyAlignment="1">
      <alignment horizontal="center"/>
    </xf>
    <xf numFmtId="0" fontId="10" fillId="0" borderId="57" xfId="0" applyFont="1" applyFill="1" applyBorder="1" applyAlignment="1">
      <alignment horizontal="center"/>
    </xf>
    <xf numFmtId="9" fontId="10" fillId="0" borderId="57" xfId="0" applyNumberFormat="1" applyFont="1" applyFill="1" applyBorder="1" applyAlignment="1">
      <alignment horizontal="center"/>
    </xf>
    <xf numFmtId="1" fontId="10" fillId="0" borderId="23" xfId="0" applyNumberFormat="1" applyFont="1" applyFill="1" applyBorder="1" applyAlignment="1">
      <alignment horizontal="center"/>
    </xf>
    <xf numFmtId="1" fontId="10" fillId="0" borderId="57" xfId="0" applyNumberFormat="1" applyFont="1" applyFill="1" applyBorder="1" applyAlignment="1">
      <alignment horizontal="center"/>
    </xf>
    <xf numFmtId="49" fontId="10" fillId="0" borderId="31" xfId="0" applyNumberFormat="1" applyFont="1" applyFill="1" applyBorder="1" applyAlignment="1">
      <alignment horizontal="center"/>
    </xf>
    <xf numFmtId="49" fontId="10" fillId="0" borderId="59" xfId="0" applyNumberFormat="1" applyFont="1" applyFill="1" applyBorder="1" applyAlignment="1">
      <alignment horizontal="center"/>
    </xf>
    <xf numFmtId="49" fontId="10" fillId="0" borderId="59" xfId="0" applyNumberFormat="1" applyFont="1" applyBorder="1" applyAlignment="1">
      <alignment horizontal="center" vertical="center" wrapText="1"/>
    </xf>
    <xf numFmtId="49" fontId="16" fillId="0" borderId="22" xfId="0" applyNumberFormat="1" applyFont="1" applyFill="1" applyBorder="1" applyAlignment="1">
      <alignment horizontal="center" vertical="center" wrapText="1"/>
    </xf>
    <xf numFmtId="0" fontId="10" fillId="0" borderId="59" xfId="0" applyFont="1" applyBorder="1" applyAlignment="1">
      <alignment horizontal="center" vertical="center" wrapText="1"/>
    </xf>
    <xf numFmtId="0" fontId="1" fillId="0" borderId="60" xfId="0" applyFont="1" applyFill="1" applyBorder="1"/>
    <xf numFmtId="3" fontId="1" fillId="0" borderId="43" xfId="0" applyNumberFormat="1" applyFont="1" applyFill="1" applyBorder="1"/>
    <xf numFmtId="166" fontId="1" fillId="0" borderId="10" xfId="0" applyNumberFormat="1" applyFont="1" applyFill="1" applyBorder="1"/>
    <xf numFmtId="167" fontId="1" fillId="0" borderId="10" xfId="0" applyNumberFormat="1" applyFont="1" applyFill="1" applyBorder="1"/>
    <xf numFmtId="165" fontId="1" fillId="0" borderId="44" xfId="0" applyNumberFormat="1" applyFont="1" applyFill="1" applyBorder="1" applyAlignment="1">
      <alignment horizontal="right"/>
    </xf>
    <xf numFmtId="165" fontId="1" fillId="0" borderId="43" xfId="0" applyNumberFormat="1" applyFont="1" applyFill="1" applyBorder="1" applyAlignment="1">
      <alignment horizontal="right"/>
    </xf>
    <xf numFmtId="165" fontId="1" fillId="0" borderId="10" xfId="0" applyNumberFormat="1" applyFont="1" applyFill="1" applyBorder="1" applyAlignment="1">
      <alignment horizontal="right"/>
    </xf>
    <xf numFmtId="3" fontId="1" fillId="0" borderId="44" xfId="0" applyNumberFormat="1" applyFont="1" applyFill="1" applyBorder="1"/>
    <xf numFmtId="165" fontId="1" fillId="0" borderId="12" xfId="0" applyNumberFormat="1" applyFont="1" applyFill="1" applyBorder="1"/>
    <xf numFmtId="3" fontId="1" fillId="0" borderId="42" xfId="0" applyNumberFormat="1" applyFont="1" applyFill="1" applyBorder="1"/>
    <xf numFmtId="165" fontId="1" fillId="0" borderId="61" xfId="0" applyNumberFormat="1" applyFont="1" applyFill="1" applyBorder="1"/>
    <xf numFmtId="166" fontId="1" fillId="0" borderId="4" xfId="0" applyNumberFormat="1" applyFont="1" applyFill="1" applyBorder="1"/>
    <xf numFmtId="165" fontId="1" fillId="0" borderId="3" xfId="0" applyNumberFormat="1" applyFont="1" applyFill="1" applyBorder="1"/>
    <xf numFmtId="0" fontId="1" fillId="0" borderId="62" xfId="0" applyFont="1" applyFill="1" applyBorder="1"/>
    <xf numFmtId="166" fontId="1" fillId="0" borderId="36" xfId="0" applyNumberFormat="1" applyFont="1" applyFill="1" applyBorder="1"/>
    <xf numFmtId="167" fontId="1" fillId="0" borderId="36" xfId="0" applyNumberFormat="1" applyFont="1" applyFill="1" applyBorder="1"/>
    <xf numFmtId="166" fontId="1" fillId="0" borderId="32" xfId="0" applyNumberFormat="1" applyFont="1" applyFill="1" applyBorder="1"/>
    <xf numFmtId="165" fontId="1" fillId="0" borderId="65" xfId="0" applyNumberFormat="1" applyFont="1" applyFill="1" applyBorder="1"/>
    <xf numFmtId="3" fontId="1" fillId="0" borderId="39" xfId="0" applyNumberFormat="1" applyFont="1" applyFill="1" applyBorder="1"/>
    <xf numFmtId="3" fontId="5" fillId="0" borderId="52" xfId="0" applyNumberFormat="1" applyFont="1" applyFill="1" applyBorder="1"/>
    <xf numFmtId="166" fontId="5" fillId="0" borderId="49" xfId="0" applyNumberFormat="1" applyFont="1" applyFill="1" applyBorder="1"/>
    <xf numFmtId="169" fontId="5" fillId="0" borderId="49" xfId="0" applyNumberFormat="1" applyFont="1" applyFill="1" applyBorder="1"/>
    <xf numFmtId="165" fontId="5" fillId="0" borderId="49" xfId="0" applyNumberFormat="1" applyFont="1" applyFill="1" applyBorder="1" applyAlignment="1">
      <alignment horizontal="right"/>
    </xf>
    <xf numFmtId="166" fontId="5" fillId="0" borderId="20" xfId="0" applyNumberFormat="1" applyFont="1" applyFill="1" applyBorder="1"/>
    <xf numFmtId="167" fontId="5" fillId="0" borderId="49" xfId="0" applyNumberFormat="1" applyFont="1" applyFill="1" applyBorder="1"/>
    <xf numFmtId="3" fontId="5" fillId="0" borderId="49" xfId="0" applyNumberFormat="1" applyFont="1" applyFill="1" applyBorder="1"/>
    <xf numFmtId="167" fontId="5" fillId="0" borderId="20" xfId="0" applyNumberFormat="1" applyFont="1" applyFill="1" applyBorder="1"/>
    <xf numFmtId="0" fontId="7" fillId="0" borderId="0" xfId="0" applyFont="1" applyBorder="1" applyAlignment="1">
      <alignment horizontal="left" vertical="center"/>
    </xf>
    <xf numFmtId="164" fontId="5" fillId="0" borderId="0" xfId="1" applyNumberFormat="1" applyFont="1" applyFill="1" applyBorder="1" applyAlignment="1">
      <alignment horizontal="center"/>
    </xf>
    <xf numFmtId="165" fontId="5" fillId="0" borderId="0" xfId="1" applyNumberFormat="1" applyFont="1" applyFill="1" applyBorder="1"/>
    <xf numFmtId="3" fontId="5" fillId="0" borderId="0" xfId="0" applyNumberFormat="1" applyFont="1" applyFill="1" applyBorder="1"/>
    <xf numFmtId="166" fontId="5" fillId="0" borderId="0" xfId="0" applyNumberFormat="1" applyFont="1" applyFill="1" applyBorder="1"/>
    <xf numFmtId="169" fontId="5" fillId="0" borderId="0" xfId="0" applyNumberFormat="1" applyFont="1" applyFill="1" applyBorder="1"/>
    <xf numFmtId="165" fontId="5" fillId="0" borderId="0" xfId="0" applyNumberFormat="1" applyFont="1" applyFill="1" applyBorder="1" applyAlignment="1">
      <alignment horizontal="right"/>
    </xf>
    <xf numFmtId="167" fontId="5" fillId="0" borderId="0" xfId="0" applyNumberFormat="1" applyFont="1" applyFill="1" applyBorder="1"/>
    <xf numFmtId="165" fontId="5" fillId="0" borderId="0" xfId="0" applyNumberFormat="1" applyFont="1" applyFill="1" applyBorder="1"/>
    <xf numFmtId="0" fontId="11" fillId="0" borderId="0" xfId="0" applyFont="1" applyFill="1" applyAlignment="1">
      <alignment horizontal="right" vertical="top"/>
    </xf>
    <xf numFmtId="0" fontId="8" fillId="0" borderId="0" xfId="0" applyFont="1" applyFill="1" applyBorder="1" applyAlignment="1">
      <alignment horizontal="right"/>
    </xf>
    <xf numFmtId="4" fontId="23" fillId="6" borderId="0" xfId="4" applyNumberFormat="1" applyFont="1" applyFill="1"/>
    <xf numFmtId="4" fontId="7" fillId="0" borderId="23" xfId="0" applyNumberFormat="1" applyFont="1" applyFill="1" applyBorder="1" applyAlignment="1"/>
    <xf numFmtId="4" fontId="7" fillId="6" borderId="0" xfId="0" applyNumberFormat="1" applyFont="1" applyFill="1" applyBorder="1" applyAlignment="1"/>
    <xf numFmtId="4" fontId="7" fillId="0" borderId="4" xfId="0" applyNumberFormat="1" applyFont="1" applyFill="1" applyBorder="1" applyAlignment="1">
      <alignment horizontal="right"/>
    </xf>
    <xf numFmtId="4" fontId="7" fillId="0" borderId="47" xfId="0" applyNumberFormat="1" applyFont="1" applyFill="1" applyBorder="1" applyAlignment="1">
      <alignment horizontal="right"/>
    </xf>
    <xf numFmtId="0" fontId="39" fillId="0" borderId="0" xfId="0" applyFont="1" applyFill="1" applyAlignment="1">
      <alignment vertical="center" wrapText="1"/>
    </xf>
    <xf numFmtId="0" fontId="28" fillId="0" borderId="0" xfId="4" applyFill="1" applyBorder="1" applyAlignment="1">
      <alignment horizontal="center"/>
    </xf>
    <xf numFmtId="0" fontId="28" fillId="0" borderId="0" xfId="4" applyBorder="1" applyAlignment="1">
      <alignment horizontal="center"/>
    </xf>
    <xf numFmtId="167" fontId="43" fillId="0" borderId="55" xfId="4" applyNumberFormat="1" applyFont="1" applyBorder="1" applyAlignment="1">
      <alignment horizontal="right" vertical="center"/>
    </xf>
    <xf numFmtId="167" fontId="43" fillId="0" borderId="57" xfId="4" applyNumberFormat="1" applyFont="1" applyBorder="1" applyAlignment="1">
      <alignment horizontal="right" vertical="center"/>
    </xf>
    <xf numFmtId="167" fontId="43" fillId="0" borderId="59" xfId="4" applyNumberFormat="1" applyFont="1" applyBorder="1" applyAlignment="1">
      <alignment horizontal="right" vertical="center"/>
    </xf>
    <xf numFmtId="0" fontId="30" fillId="0" borderId="22" xfId="4" applyFont="1" applyBorder="1" applyAlignment="1"/>
    <xf numFmtId="10" fontId="32" fillId="0" borderId="57" xfId="4" applyNumberFormat="1" applyFont="1" applyFill="1" applyBorder="1" applyAlignment="1">
      <alignment horizontal="right"/>
    </xf>
    <xf numFmtId="166" fontId="32" fillId="0" borderId="0" xfId="4" applyNumberFormat="1" applyFont="1" applyBorder="1"/>
    <xf numFmtId="166" fontId="32" fillId="0" borderId="49" xfId="4" applyNumberFormat="1" applyFont="1" applyBorder="1"/>
    <xf numFmtId="0" fontId="48" fillId="15" borderId="5" xfId="0" applyFont="1" applyFill="1" applyBorder="1" applyAlignment="1">
      <alignment horizontal="center"/>
    </xf>
    <xf numFmtId="0" fontId="48" fillId="15" borderId="8" xfId="0" applyFont="1" applyFill="1" applyBorder="1" applyAlignment="1">
      <alignment horizontal="center"/>
    </xf>
    <xf numFmtId="0" fontId="48" fillId="15" borderId="10" xfId="0" applyFont="1" applyFill="1" applyBorder="1" applyAlignment="1">
      <alignment horizontal="center"/>
    </xf>
    <xf numFmtId="0" fontId="46" fillId="0" borderId="4" xfId="0" applyFont="1" applyBorder="1" applyAlignment="1">
      <alignment horizontal="center"/>
    </xf>
    <xf numFmtId="0" fontId="49" fillId="0" borderId="4" xfId="0" applyFont="1" applyBorder="1" applyAlignment="1">
      <alignment wrapText="1"/>
    </xf>
    <xf numFmtId="4" fontId="9" fillId="0" borderId="4" xfId="0" applyNumberFormat="1" applyFont="1" applyBorder="1"/>
    <xf numFmtId="174" fontId="9" fillId="0" borderId="4" xfId="0" applyNumberFormat="1" applyFont="1" applyBorder="1"/>
    <xf numFmtId="0" fontId="49" fillId="5" borderId="4" xfId="0" applyFont="1" applyFill="1" applyBorder="1" applyAlignment="1">
      <alignment wrapText="1"/>
    </xf>
    <xf numFmtId="4" fontId="9" fillId="15" borderId="4" xfId="0" applyNumberFormat="1" applyFont="1" applyFill="1" applyBorder="1"/>
    <xf numFmtId="4" fontId="50" fillId="15" borderId="4" xfId="0" applyNumberFormat="1" applyFont="1" applyFill="1" applyBorder="1"/>
    <xf numFmtId="4" fontId="9" fillId="0" borderId="8" xfId="0" applyNumberFormat="1" applyFont="1" applyFill="1" applyBorder="1"/>
    <xf numFmtId="0" fontId="28" fillId="0" borderId="0" xfId="4" applyAlignment="1">
      <alignment horizontal="center"/>
    </xf>
    <xf numFmtId="4" fontId="32" fillId="0" borderId="49" xfId="4" applyNumberFormat="1" applyFont="1" applyBorder="1"/>
    <xf numFmtId="166" fontId="28" fillId="0" borderId="0" xfId="4" applyNumberFormat="1" applyFill="1"/>
    <xf numFmtId="0" fontId="28" fillId="0" borderId="0" xfId="4" applyAlignment="1"/>
    <xf numFmtId="166" fontId="28" fillId="0" borderId="0" xfId="4" applyNumberFormat="1" applyAlignment="1"/>
    <xf numFmtId="3" fontId="12" fillId="17" borderId="49" xfId="5" applyNumberFormat="1" applyFont="1" applyFill="1" applyBorder="1" applyAlignment="1">
      <alignment horizontal="right" vertical="center"/>
    </xf>
    <xf numFmtId="3" fontId="12" fillId="17" borderId="20" xfId="5" applyNumberFormat="1" applyFont="1" applyFill="1" applyBorder="1" applyAlignment="1">
      <alignment horizontal="right" vertical="center"/>
    </xf>
    <xf numFmtId="3" fontId="28" fillId="6" borderId="49" xfId="4" applyNumberFormat="1" applyFill="1" applyBorder="1"/>
    <xf numFmtId="10" fontId="28" fillId="0" borderId="59" xfId="4" applyNumberFormat="1" applyBorder="1"/>
    <xf numFmtId="166" fontId="28" fillId="0" borderId="0" xfId="4" applyNumberFormat="1"/>
    <xf numFmtId="4" fontId="28" fillId="0" borderId="20" xfId="4" applyNumberFormat="1" applyBorder="1"/>
    <xf numFmtId="4" fontId="22" fillId="17" borderId="49" xfId="4" applyNumberFormat="1" applyFont="1" applyFill="1" applyBorder="1" applyAlignment="1">
      <alignment horizontal="right"/>
    </xf>
    <xf numFmtId="4" fontId="22" fillId="17" borderId="0" xfId="4" applyNumberFormat="1" applyFont="1" applyFill="1" applyAlignment="1">
      <alignment horizontal="right"/>
    </xf>
    <xf numFmtId="4" fontId="22" fillId="17" borderId="0" xfId="4" applyNumberFormat="1" applyFont="1" applyFill="1" applyBorder="1" applyAlignment="1">
      <alignment horizontal="right"/>
    </xf>
    <xf numFmtId="167" fontId="28" fillId="0" borderId="22" xfId="4" applyNumberFormat="1" applyBorder="1" applyAlignment="1"/>
    <xf numFmtId="0" fontId="32" fillId="0" borderId="55" xfId="4" applyFont="1" applyBorder="1"/>
    <xf numFmtId="0" fontId="32" fillId="0" borderId="79" xfId="4" applyFont="1" applyBorder="1"/>
    <xf numFmtId="4" fontId="28" fillId="0" borderId="79" xfId="4" applyNumberFormat="1" applyFill="1" applyBorder="1"/>
    <xf numFmtId="4" fontId="30" fillId="0" borderId="79" xfId="4" applyNumberFormat="1" applyFont="1" applyBorder="1"/>
    <xf numFmtId="165" fontId="8" fillId="0" borderId="49" xfId="1" applyNumberFormat="1" applyFont="1" applyFill="1" applyBorder="1"/>
    <xf numFmtId="0" fontId="1" fillId="0" borderId="5" xfId="0" applyFont="1" applyBorder="1"/>
    <xf numFmtId="49" fontId="1" fillId="0" borderId="7" xfId="0" applyNumberFormat="1" applyFont="1" applyBorder="1" applyAlignment="1">
      <alignment horizontal="right"/>
    </xf>
    <xf numFmtId="49" fontId="1" fillId="0" borderId="7" xfId="0" applyNumberFormat="1" applyFont="1" applyFill="1" applyBorder="1" applyAlignment="1">
      <alignment horizontal="right"/>
    </xf>
    <xf numFmtId="0" fontId="1" fillId="0" borderId="8" xfId="0" applyFont="1" applyBorder="1"/>
    <xf numFmtId="49" fontId="1" fillId="0" borderId="9" xfId="0" applyNumberFormat="1" applyFont="1" applyBorder="1" applyAlignment="1">
      <alignment horizontal="right"/>
    </xf>
    <xf numFmtId="49" fontId="1" fillId="0" borderId="9" xfId="0" applyNumberFormat="1" applyFont="1" applyFill="1" applyBorder="1" applyAlignment="1">
      <alignment horizontal="right"/>
    </xf>
    <xf numFmtId="0" fontId="1" fillId="0" borderId="10" xfId="0" applyFont="1" applyBorder="1"/>
    <xf numFmtId="17" fontId="1" fillId="0" borderId="10" xfId="0" applyNumberFormat="1" applyFont="1" applyBorder="1" applyAlignment="1">
      <alignment horizontal="left"/>
    </xf>
    <xf numFmtId="49" fontId="1" fillId="0" borderId="12" xfId="0" applyNumberFormat="1" applyFont="1" applyBorder="1" applyAlignment="1">
      <alignment horizontal="right"/>
    </xf>
    <xf numFmtId="49" fontId="1" fillId="0" borderId="12" xfId="0" applyNumberFormat="1" applyFont="1" applyFill="1" applyBorder="1" applyAlignment="1">
      <alignment horizontal="right"/>
    </xf>
    <xf numFmtId="49" fontId="1" fillId="0" borderId="10" xfId="0" applyNumberFormat="1" applyFont="1" applyBorder="1" applyAlignment="1">
      <alignment horizontal="left"/>
    </xf>
    <xf numFmtId="0" fontId="8" fillId="0" borderId="0" xfId="0" applyFont="1" applyAlignment="1">
      <alignment horizontal="center"/>
    </xf>
    <xf numFmtId="0" fontId="21" fillId="0" borderId="0" xfId="0" applyFont="1" applyAlignment="1">
      <alignment horizontal="center" vertical="justify"/>
    </xf>
    <xf numFmtId="3" fontId="9" fillId="0" borderId="76" xfId="0" applyNumberFormat="1" applyFont="1" applyFill="1" applyBorder="1" applyAlignment="1"/>
    <xf numFmtId="167" fontId="9" fillId="0" borderId="11" xfId="0" applyNumberFormat="1" applyFont="1" applyFill="1" applyBorder="1" applyAlignment="1"/>
    <xf numFmtId="3" fontId="9" fillId="0" borderId="47" xfId="0" applyNumberFormat="1" applyFont="1" applyFill="1" applyBorder="1" applyAlignment="1"/>
    <xf numFmtId="3" fontId="9" fillId="0" borderId="64" xfId="0" applyNumberFormat="1" applyFont="1" applyFill="1" applyBorder="1" applyAlignment="1"/>
    <xf numFmtId="3" fontId="9" fillId="0" borderId="52" xfId="0" applyNumberFormat="1" applyFont="1" applyFill="1" applyBorder="1"/>
    <xf numFmtId="167" fontId="9" fillId="0" borderId="53" xfId="0" applyNumberFormat="1" applyFont="1" applyFill="1" applyBorder="1"/>
    <xf numFmtId="3" fontId="9" fillId="0" borderId="76" xfId="0" applyNumberFormat="1" applyFont="1" applyBorder="1" applyAlignment="1"/>
    <xf numFmtId="167" fontId="9" fillId="0" borderId="11" xfId="0" applyNumberFormat="1" applyFont="1" applyBorder="1" applyAlignment="1"/>
    <xf numFmtId="167" fontId="9" fillId="0" borderId="54" xfId="0" applyNumberFormat="1" applyFont="1" applyBorder="1"/>
    <xf numFmtId="3" fontId="9" fillId="0" borderId="47" xfId="0" applyNumberFormat="1" applyFont="1" applyBorder="1" applyAlignment="1"/>
    <xf numFmtId="3" fontId="9" fillId="0" borderId="64" xfId="0" applyNumberFormat="1" applyFont="1" applyBorder="1" applyAlignment="1"/>
    <xf numFmtId="3" fontId="28" fillId="6" borderId="0" xfId="4" applyNumberFormat="1" applyFill="1"/>
    <xf numFmtId="10" fontId="28" fillId="6" borderId="0" xfId="4" applyNumberFormat="1" applyFill="1"/>
    <xf numFmtId="0" fontId="28" fillId="6" borderId="0" xfId="4" applyFill="1"/>
    <xf numFmtId="0" fontId="28" fillId="0" borderId="0" xfId="4" applyBorder="1"/>
    <xf numFmtId="3" fontId="32" fillId="0" borderId="0" xfId="4" applyNumberFormat="1" applyFont="1" applyBorder="1"/>
    <xf numFmtId="0" fontId="2" fillId="0" borderId="0" xfId="0" applyFont="1" applyFill="1" applyBorder="1" applyAlignment="1">
      <alignment horizontal="center" vertical="distributed"/>
    </xf>
    <xf numFmtId="0" fontId="6" fillId="0" borderId="0" xfId="0" applyFont="1" applyFill="1" applyBorder="1" applyAlignment="1">
      <alignment horizontal="center" vertical="distributed"/>
    </xf>
    <xf numFmtId="0" fontId="6" fillId="0" borderId="0" xfId="0" applyFont="1" applyFill="1" applyBorder="1" applyAlignment="1">
      <alignment horizontal="center" vertical="center"/>
    </xf>
    <xf numFmtId="0" fontId="6" fillId="0" borderId="1" xfId="0" applyFont="1" applyFill="1" applyBorder="1" applyAlignment="1">
      <alignment horizontal="center" vertical="distributed"/>
    </xf>
    <xf numFmtId="0" fontId="6" fillId="0" borderId="3" xfId="0" applyFont="1" applyFill="1" applyBorder="1" applyAlignment="1">
      <alignment horizontal="center" vertical="distributed"/>
    </xf>
    <xf numFmtId="0" fontId="2" fillId="0" borderId="4" xfId="0" applyFont="1" applyFill="1" applyBorder="1" applyAlignment="1">
      <alignment horizontal="center" vertical="distributed"/>
    </xf>
    <xf numFmtId="0" fontId="6" fillId="0" borderId="4" xfId="0" applyFont="1" applyFill="1" applyBorder="1" applyAlignment="1">
      <alignment horizontal="center" vertical="distributed"/>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7" fillId="0" borderId="1" xfId="0" applyFont="1" applyFill="1" applyBorder="1" applyAlignment="1">
      <alignment horizontal="center" vertical="distributed"/>
    </xf>
    <xf numFmtId="0" fontId="7" fillId="0" borderId="3" xfId="0" applyFont="1" applyFill="1" applyBorder="1" applyAlignment="1">
      <alignment horizontal="center" vertical="distributed"/>
    </xf>
    <xf numFmtId="0" fontId="5" fillId="0" borderId="0" xfId="0" applyFont="1" applyAlignment="1">
      <alignment horizontal="center"/>
    </xf>
    <xf numFmtId="0" fontId="5" fillId="0" borderId="0" xfId="0" applyFont="1" applyAlignment="1">
      <alignment horizontal="center" vertical="justify"/>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4" xfId="0" applyFont="1" applyFill="1" applyBorder="1" applyAlignment="1">
      <alignment vertical="center" wrapText="1"/>
    </xf>
    <xf numFmtId="0" fontId="12" fillId="0" borderId="4" xfId="0" applyFont="1" applyFill="1" applyBorder="1" applyAlignment="1">
      <alignment horizontal="center" vertical="distributed"/>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distributed"/>
    </xf>
    <xf numFmtId="0" fontId="11"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8" fillId="0" borderId="24"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0" xfId="0" applyFont="1" applyAlignment="1">
      <alignment horizontal="center"/>
    </xf>
    <xf numFmtId="0" fontId="8" fillId="0" borderId="7"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11" fillId="0" borderId="18" xfId="0" applyFont="1" applyBorder="1" applyAlignment="1">
      <alignment horizontal="center" vertical="center" wrapText="1"/>
    </xf>
    <xf numFmtId="0" fontId="9" fillId="0" borderId="76"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7" xfId="0" applyFont="1" applyFill="1" applyBorder="1" applyAlignment="1">
      <alignment horizontal="center" vertical="center" wrapText="1"/>
    </xf>
    <xf numFmtId="0" fontId="21" fillId="0" borderId="0" xfId="0" applyFont="1" applyAlignment="1">
      <alignment horizontal="center" vertical="justify"/>
    </xf>
    <xf numFmtId="0" fontId="8" fillId="0" borderId="4" xfId="0" applyFont="1" applyBorder="1" applyAlignment="1">
      <alignment horizontal="center" vertical="center" wrapText="1"/>
    </xf>
    <xf numFmtId="0" fontId="0" fillId="0" borderId="4" xfId="0" applyBorder="1" applyAlignment="1">
      <alignment vertical="center" wrapText="1"/>
    </xf>
    <xf numFmtId="2" fontId="8" fillId="0" borderId="4" xfId="0" applyNumberFormat="1" applyFont="1" applyBorder="1" applyAlignment="1">
      <alignment horizontal="center" wrapText="1"/>
    </xf>
    <xf numFmtId="0" fontId="0" fillId="0" borderId="32" xfId="0" applyBorder="1" applyAlignment="1">
      <alignment vertical="center" wrapText="1"/>
    </xf>
    <xf numFmtId="0" fontId="8" fillId="0" borderId="4" xfId="0" applyFont="1" applyBorder="1" applyAlignment="1">
      <alignment horizontal="center"/>
    </xf>
    <xf numFmtId="4" fontId="8" fillId="0" borderId="4" xfId="0" applyNumberFormat="1" applyFont="1" applyBorder="1" applyAlignment="1">
      <alignment horizontal="center" vertical="center" wrapText="1"/>
    </xf>
    <xf numFmtId="0" fontId="0" fillId="0" borderId="4" xfId="0" applyBorder="1" applyAlignment="1">
      <alignment horizontal="center" vertical="center" wrapText="1"/>
    </xf>
    <xf numFmtId="0" fontId="0" fillId="0" borderId="32" xfId="0" applyBorder="1" applyAlignment="1">
      <alignment horizontal="center" vertical="center" wrapText="1"/>
    </xf>
    <xf numFmtId="0" fontId="8" fillId="0" borderId="1" xfId="0" applyFont="1" applyBorder="1" applyAlignment="1">
      <alignment horizontal="center" vertical="center" wrapText="1"/>
    </xf>
    <xf numFmtId="0" fontId="8" fillId="0" borderId="25"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10" fillId="0" borderId="55"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23" xfId="0" applyFont="1" applyBorder="1" applyAlignment="1">
      <alignment horizontal="center" vertical="center" wrapText="1"/>
    </xf>
    <xf numFmtId="2" fontId="10" fillId="0" borderId="24" xfId="0" applyNumberFormat="1" applyFont="1" applyFill="1" applyBorder="1" applyAlignment="1">
      <alignment horizontal="center" vertical="center" wrapText="1"/>
    </xf>
    <xf numFmtId="2" fontId="10" fillId="0" borderId="5" xfId="0" applyNumberFormat="1" applyFont="1" applyFill="1" applyBorder="1" applyAlignment="1">
      <alignment horizontal="center" vertical="center" wrapText="1"/>
    </xf>
    <xf numFmtId="2" fontId="10" fillId="0" borderId="43" xfId="0" applyNumberFormat="1" applyFont="1" applyFill="1" applyBorder="1" applyAlignment="1">
      <alignment horizontal="center" vertical="center" wrapText="1"/>
    </xf>
    <xf numFmtId="2" fontId="10" fillId="0" borderId="10"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4" fontId="10" fillId="0" borderId="5" xfId="0" applyNumberFormat="1" applyFont="1" applyFill="1" applyBorder="1" applyAlignment="1">
      <alignment horizontal="center" vertical="center" wrapText="1"/>
    </xf>
    <xf numFmtId="4" fontId="10" fillId="0" borderId="8" xfId="0" applyNumberFormat="1" applyFont="1" applyFill="1" applyBorder="1" applyAlignment="1">
      <alignment horizontal="center" vertical="center" wrapText="1"/>
    </xf>
    <xf numFmtId="0" fontId="10" fillId="0" borderId="55"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0" fillId="0" borderId="3" xfId="0" applyBorder="1" applyAlignment="1">
      <alignment horizontal="center" vertical="center" wrapText="1"/>
    </xf>
    <xf numFmtId="0" fontId="15" fillId="0" borderId="8" xfId="0" applyFont="1" applyBorder="1" applyAlignment="1">
      <alignment horizontal="center" vertical="center" wrapText="1"/>
    </xf>
    <xf numFmtId="0" fontId="10" fillId="0" borderId="15"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5"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6" xfId="0" applyFont="1" applyFill="1" applyBorder="1" applyAlignment="1">
      <alignment horizontal="center" vertical="center"/>
    </xf>
    <xf numFmtId="165" fontId="18" fillId="0" borderId="0" xfId="0" applyNumberFormat="1" applyFont="1" applyAlignment="1">
      <alignment horizontal="left" vertical="center" wrapText="1"/>
    </xf>
    <xf numFmtId="0" fontId="18" fillId="0" borderId="0" xfId="0" applyFont="1" applyFill="1" applyAlignment="1">
      <alignment horizontal="left" wrapText="1"/>
    </xf>
    <xf numFmtId="0" fontId="18" fillId="0" borderId="14" xfId="0" applyFont="1" applyFill="1" applyBorder="1" applyAlignment="1">
      <alignment horizontal="left"/>
    </xf>
    <xf numFmtId="0" fontId="18" fillId="0" borderId="0" xfId="0" applyFont="1" applyAlignment="1">
      <alignment horizontal="left" vertical="center" wrapText="1"/>
    </xf>
    <xf numFmtId="0" fontId="8" fillId="0" borderId="0" xfId="0" applyFont="1" applyAlignment="1">
      <alignment horizontal="center" vertical="center"/>
    </xf>
    <xf numFmtId="0" fontId="8" fillId="0" borderId="55" xfId="0" applyFont="1" applyBorder="1" applyAlignment="1">
      <alignment horizontal="center" vertical="center" textRotation="90"/>
    </xf>
    <xf numFmtId="0" fontId="8" fillId="0" borderId="57" xfId="0" applyFont="1" applyBorder="1" applyAlignment="1">
      <alignment horizontal="center" vertical="center" textRotation="90"/>
    </xf>
    <xf numFmtId="0" fontId="8" fillId="0" borderId="59" xfId="0" applyFont="1" applyBorder="1" applyAlignment="1">
      <alignment horizontal="center" vertical="center" textRotation="90"/>
    </xf>
    <xf numFmtId="2" fontId="8" fillId="0" borderId="66" xfId="0" applyNumberFormat="1" applyFont="1" applyBorder="1" applyAlignment="1">
      <alignment horizontal="center" vertical="justify"/>
    </xf>
    <xf numFmtId="2" fontId="8" fillId="0" borderId="29" xfId="0" applyNumberFormat="1" applyFont="1" applyBorder="1" applyAlignment="1">
      <alignment horizontal="center" vertical="justify"/>
    </xf>
    <xf numFmtId="2" fontId="8" fillId="0" borderId="44" xfId="0" applyNumberFormat="1" applyFont="1" applyBorder="1" applyAlignment="1">
      <alignment horizontal="center" vertical="justify"/>
    </xf>
    <xf numFmtId="1" fontId="8" fillId="0" borderId="77" xfId="0" applyNumberFormat="1" applyFont="1" applyBorder="1" applyAlignment="1">
      <alignment horizontal="center"/>
    </xf>
    <xf numFmtId="1" fontId="8" fillId="0" borderId="11" xfId="0" applyNumberFormat="1" applyFont="1" applyBorder="1" applyAlignment="1">
      <alignment horizontal="center"/>
    </xf>
    <xf numFmtId="0" fontId="8" fillId="0" borderId="77" xfId="0" applyFont="1" applyBorder="1" applyAlignment="1">
      <alignment horizontal="center"/>
    </xf>
    <xf numFmtId="0" fontId="8" fillId="0" borderId="12" xfId="0" applyFont="1" applyBorder="1" applyAlignment="1">
      <alignment horizontal="center"/>
    </xf>
    <xf numFmtId="0" fontId="8" fillId="0" borderId="25" xfId="0" applyFont="1" applyFill="1" applyBorder="1" applyAlignment="1">
      <alignment horizontal="center" wrapText="1"/>
    </xf>
    <xf numFmtId="0" fontId="8" fillId="0" borderId="29" xfId="0" applyFont="1" applyFill="1" applyBorder="1" applyAlignment="1">
      <alignment horizontal="center" wrapText="1"/>
    </xf>
    <xf numFmtId="0" fontId="8" fillId="0" borderId="44" xfId="0" applyFont="1" applyFill="1" applyBorder="1" applyAlignment="1">
      <alignment horizontal="center" wrapText="1"/>
    </xf>
    <xf numFmtId="0" fontId="8" fillId="0" borderId="23" xfId="0" applyFont="1" applyBorder="1" applyAlignment="1">
      <alignment horizontal="center"/>
    </xf>
    <xf numFmtId="0" fontId="8" fillId="0" borderId="0" xfId="0" applyFont="1" applyBorder="1" applyAlignment="1">
      <alignment horizontal="center"/>
    </xf>
    <xf numFmtId="0" fontId="39" fillId="0" borderId="0" xfId="0" applyFont="1" applyAlignment="1">
      <alignment horizontal="left" vertical="center" wrapText="1"/>
    </xf>
    <xf numFmtId="165" fontId="39" fillId="0" borderId="0" xfId="0" applyNumberFormat="1" applyFont="1" applyAlignment="1">
      <alignment horizontal="left" vertical="center" wrapText="1"/>
    </xf>
    <xf numFmtId="0" fontId="10" fillId="0" borderId="5"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15" xfId="0" applyFont="1" applyBorder="1" applyAlignment="1">
      <alignment horizontal="center" wrapText="1"/>
    </xf>
    <xf numFmtId="0" fontId="8" fillId="0" borderId="16" xfId="0" applyFont="1" applyBorder="1" applyAlignment="1">
      <alignment horizontal="center" wrapText="1"/>
    </xf>
    <xf numFmtId="0" fontId="8" fillId="0" borderId="17" xfId="0" applyFont="1" applyBorder="1" applyAlignment="1">
      <alignment horizontal="center" wrapText="1"/>
    </xf>
    <xf numFmtId="0" fontId="8" fillId="0" borderId="24" xfId="0" applyFont="1" applyBorder="1" applyAlignment="1">
      <alignment horizontal="center" vertical="justify"/>
    </xf>
    <xf numFmtId="0" fontId="8" fillId="0" borderId="28" xfId="0" applyFont="1" applyBorder="1" applyAlignment="1">
      <alignment horizontal="center" vertical="justify"/>
    </xf>
    <xf numFmtId="0" fontId="8" fillId="0" borderId="43" xfId="0" applyFont="1" applyBorder="1" applyAlignment="1">
      <alignment horizontal="center" vertical="justify"/>
    </xf>
    <xf numFmtId="0" fontId="8" fillId="0" borderId="25" xfId="0" applyFont="1" applyBorder="1" applyAlignment="1">
      <alignment horizontal="center" vertical="justify"/>
    </xf>
    <xf numFmtId="0" fontId="8" fillId="0" borderId="29" xfId="0" applyFont="1" applyBorder="1" applyAlignment="1">
      <alignment horizontal="center" vertical="justify"/>
    </xf>
    <xf numFmtId="0" fontId="8" fillId="0" borderId="44" xfId="0" applyFont="1" applyBorder="1" applyAlignment="1">
      <alignment horizontal="center" vertical="justify"/>
    </xf>
    <xf numFmtId="0" fontId="8" fillId="0" borderId="20" xfId="0" applyFont="1" applyBorder="1" applyAlignment="1">
      <alignment horizontal="left"/>
    </xf>
    <xf numFmtId="0" fontId="8" fillId="0" borderId="21" xfId="0" applyFont="1" applyBorder="1" applyAlignment="1">
      <alignment horizontal="left"/>
    </xf>
    <xf numFmtId="0" fontId="39" fillId="0" borderId="14" xfId="0" applyFont="1" applyBorder="1" applyAlignment="1">
      <alignment horizontal="left" vertical="center"/>
    </xf>
    <xf numFmtId="0" fontId="39" fillId="0" borderId="0" xfId="0" applyFont="1" applyAlignment="1">
      <alignment horizontal="left" vertical="justify"/>
    </xf>
    <xf numFmtId="0" fontId="0" fillId="0" borderId="0" xfId="0" applyAlignment="1">
      <alignment horizontal="right"/>
    </xf>
    <xf numFmtId="0" fontId="18" fillId="0" borderId="14" xfId="0" applyFont="1" applyBorder="1" applyAlignment="1">
      <alignment horizontal="left" vertical="center"/>
    </xf>
    <xf numFmtId="0" fontId="18" fillId="0" borderId="0" xfId="0" applyFont="1" applyAlignment="1">
      <alignment horizontal="left" vertical="justify"/>
    </xf>
    <xf numFmtId="0" fontId="35" fillId="0" borderId="0" xfId="0" applyFont="1" applyFill="1" applyBorder="1" applyAlignment="1">
      <alignment horizontal="left"/>
    </xf>
    <xf numFmtId="0" fontId="4" fillId="0" borderId="0" xfId="0" applyFont="1" applyAlignment="1">
      <alignment horizontal="center"/>
    </xf>
    <xf numFmtId="0" fontId="35" fillId="0" borderId="0" xfId="0" applyFont="1" applyAlignment="1">
      <alignment horizontal="left" vertical="center" wrapText="1"/>
    </xf>
    <xf numFmtId="0" fontId="8" fillId="0" borderId="70" xfId="0" applyFont="1" applyFill="1" applyBorder="1" applyAlignment="1">
      <alignment horizontal="center" vertical="center" wrapText="1"/>
    </xf>
    <xf numFmtId="0" fontId="14" fillId="0" borderId="71"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71" xfId="0" applyFont="1" applyFill="1" applyBorder="1" applyAlignment="1">
      <alignment horizontal="center" vertical="justify"/>
    </xf>
    <xf numFmtId="0" fontId="14" fillId="0" borderId="8" xfId="0" applyFont="1" applyFill="1" applyBorder="1" applyAlignment="1">
      <alignment horizontal="center" vertical="justify"/>
    </xf>
    <xf numFmtId="0" fontId="14" fillId="0" borderId="66" xfId="0" applyFont="1" applyFill="1" applyBorder="1" applyAlignment="1">
      <alignment horizontal="center" vertical="justify"/>
    </xf>
    <xf numFmtId="0" fontId="14" fillId="0" borderId="29" xfId="0" applyFont="1" applyFill="1" applyBorder="1" applyAlignment="1">
      <alignment horizontal="center" vertical="justify"/>
    </xf>
    <xf numFmtId="0" fontId="14" fillId="0" borderId="55" xfId="0" applyFont="1" applyFill="1" applyBorder="1" applyAlignment="1">
      <alignment horizontal="center" vertical="distributed"/>
    </xf>
    <xf numFmtId="0" fontId="14" fillId="0" borderId="57" xfId="0" applyFont="1" applyFill="1" applyBorder="1" applyAlignment="1">
      <alignment horizontal="center" vertical="distributed"/>
    </xf>
    <xf numFmtId="0" fontId="8" fillId="0" borderId="0" xfId="0" applyFont="1" applyFill="1" applyBorder="1" applyAlignment="1">
      <alignment horizontal="center" wrapText="1"/>
    </xf>
    <xf numFmtId="0" fontId="0" fillId="0" borderId="0" xfId="0" applyAlignment="1">
      <alignment horizontal="justify" vertical="justify" wrapText="1"/>
    </xf>
    <xf numFmtId="0" fontId="0" fillId="0" borderId="0" xfId="0" applyFill="1" applyAlignment="1">
      <alignment horizontal="left" vertical="center" wrapText="1"/>
    </xf>
    <xf numFmtId="0" fontId="19" fillId="0" borderId="0" xfId="0" applyFont="1" applyFill="1" applyAlignment="1">
      <alignment horizontal="left" vertical="center" wrapText="1"/>
    </xf>
    <xf numFmtId="0" fontId="11" fillId="0" borderId="13"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55" xfId="0" applyFont="1" applyBorder="1" applyAlignment="1">
      <alignment horizontal="center" vertical="distributed"/>
    </xf>
    <xf numFmtId="0" fontId="11" fillId="0" borderId="57" xfId="0" applyFont="1" applyBorder="1" applyAlignment="1">
      <alignment horizontal="center" vertical="distributed"/>
    </xf>
    <xf numFmtId="0" fontId="11" fillId="0" borderId="55" xfId="0" applyFont="1" applyFill="1" applyBorder="1" applyAlignment="1">
      <alignment horizontal="center" vertical="distributed" wrapText="1"/>
    </xf>
    <xf numFmtId="0" fontId="11" fillId="0" borderId="57" xfId="0" applyFont="1" applyFill="1" applyBorder="1" applyAlignment="1">
      <alignment horizontal="center" vertical="distributed" wrapText="1"/>
    </xf>
    <xf numFmtId="0" fontId="11" fillId="0" borderId="56" xfId="0" applyFont="1" applyFill="1" applyBorder="1" applyAlignment="1">
      <alignment horizontal="center" wrapText="1"/>
    </xf>
    <xf numFmtId="0" fontId="11" fillId="0" borderId="21" xfId="0" applyFont="1" applyFill="1" applyBorder="1" applyAlignment="1">
      <alignment horizontal="center" wrapText="1"/>
    </xf>
    <xf numFmtId="0" fontId="11" fillId="0" borderId="20" xfId="0" applyFont="1" applyFill="1" applyBorder="1" applyAlignment="1">
      <alignment horizontal="center" wrapText="1"/>
    </xf>
    <xf numFmtId="0" fontId="11" fillId="0" borderId="55" xfId="0" applyFont="1" applyFill="1" applyBorder="1" applyAlignment="1">
      <alignment horizontal="center" vertical="distributed"/>
    </xf>
    <xf numFmtId="0" fontId="11" fillId="0" borderId="57" xfId="0" applyFont="1" applyFill="1" applyBorder="1" applyAlignment="1">
      <alignment horizontal="center" vertical="distributed"/>
    </xf>
    <xf numFmtId="0" fontId="10" fillId="0" borderId="55" xfId="0" applyFont="1" applyFill="1" applyBorder="1" applyAlignment="1">
      <alignment horizontal="center" vertical="distributed"/>
    </xf>
    <xf numFmtId="0" fontId="10" fillId="0" borderId="57" xfId="0" applyFont="1" applyFill="1" applyBorder="1" applyAlignment="1">
      <alignment horizontal="center" vertical="distributed"/>
    </xf>
    <xf numFmtId="0" fontId="8" fillId="0" borderId="0" xfId="0" applyFont="1" applyBorder="1" applyAlignment="1">
      <alignment horizontal="center" vertical="justify"/>
    </xf>
    <xf numFmtId="0" fontId="8" fillId="0" borderId="70"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71" xfId="0" applyFont="1" applyBorder="1" applyAlignment="1">
      <alignment horizontal="center" vertical="justify"/>
    </xf>
    <xf numFmtId="0" fontId="8" fillId="0" borderId="8" xfId="0" applyFont="1" applyBorder="1" applyAlignment="1">
      <alignment horizontal="center" vertical="justify"/>
    </xf>
    <xf numFmtId="0" fontId="4" fillId="0" borderId="0" xfId="0" applyFont="1" applyBorder="1" applyAlignment="1">
      <alignment horizontal="center"/>
    </xf>
    <xf numFmtId="0" fontId="8" fillId="0" borderId="71" xfId="0" applyFont="1" applyBorder="1" applyAlignment="1">
      <alignment horizontal="center" vertical="justify" wrapText="1"/>
    </xf>
    <xf numFmtId="0" fontId="8" fillId="0" borderId="8" xfId="0" applyFont="1" applyBorder="1" applyAlignment="1">
      <alignment horizontal="center" vertical="justify" wrapText="1"/>
    </xf>
    <xf numFmtId="0" fontId="8" fillId="0" borderId="71" xfId="0" applyFont="1" applyFill="1" applyBorder="1" applyAlignment="1">
      <alignment horizontal="center" vertical="justify"/>
    </xf>
    <xf numFmtId="0" fontId="8" fillId="0" borderId="8" xfId="0" applyFont="1" applyFill="1" applyBorder="1" applyAlignment="1">
      <alignment horizontal="center" vertical="justify"/>
    </xf>
    <xf numFmtId="0" fontId="8" fillId="0" borderId="66" xfId="0" applyFont="1" applyFill="1" applyBorder="1" applyAlignment="1">
      <alignment horizontal="center" vertical="justify"/>
    </xf>
    <xf numFmtId="0" fontId="8" fillId="0" borderId="29" xfId="0" applyFont="1" applyFill="1" applyBorder="1" applyAlignment="1">
      <alignment horizontal="center" vertical="justify"/>
    </xf>
    <xf numFmtId="0" fontId="8" fillId="0" borderId="71"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6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8" fillId="0" borderId="0" xfId="0" applyFont="1" applyBorder="1" applyAlignment="1">
      <alignment horizontal="left" vertical="center"/>
    </xf>
    <xf numFmtId="165" fontId="38" fillId="0" borderId="0" xfId="0" applyNumberFormat="1" applyFont="1" applyAlignment="1">
      <alignment horizontal="left" vertical="center" wrapText="1"/>
    </xf>
    <xf numFmtId="165" fontId="37" fillId="0" borderId="0" xfId="0" applyNumberFormat="1" applyFont="1" applyAlignment="1">
      <alignment horizontal="left" vertical="center" wrapText="1"/>
    </xf>
    <xf numFmtId="0" fontId="8" fillId="0" borderId="0" xfId="0" applyFont="1" applyBorder="1" applyAlignment="1">
      <alignment horizontal="center" vertical="center" wrapText="1"/>
    </xf>
    <xf numFmtId="0" fontId="8" fillId="0" borderId="11" xfId="0" applyFont="1" applyBorder="1" applyAlignment="1">
      <alignment horizontal="center"/>
    </xf>
    <xf numFmtId="2" fontId="8" fillId="0" borderId="71" xfId="0" applyNumberFormat="1" applyFont="1" applyBorder="1" applyAlignment="1">
      <alignment horizontal="center" vertical="center" wrapText="1"/>
    </xf>
    <xf numFmtId="2" fontId="0" fillId="0" borderId="8" xfId="0" applyNumberFormat="1" applyBorder="1" applyAlignment="1">
      <alignment horizontal="center" vertical="center" wrapText="1"/>
    </xf>
    <xf numFmtId="0" fontId="8" fillId="0" borderId="66" xfId="0" applyFont="1" applyBorder="1" applyAlignment="1">
      <alignment horizontal="center" vertical="center" wrapText="1"/>
    </xf>
    <xf numFmtId="0" fontId="8" fillId="0" borderId="29" xfId="0" applyFont="1" applyBorder="1" applyAlignment="1">
      <alignment horizontal="center" vertical="center" wrapText="1"/>
    </xf>
    <xf numFmtId="49" fontId="8" fillId="0" borderId="0" xfId="0" applyNumberFormat="1" applyFont="1" applyAlignment="1">
      <alignment horizontal="center"/>
    </xf>
    <xf numFmtId="0" fontId="8" fillId="0" borderId="20"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0" xfId="0" applyFont="1" applyFill="1" applyBorder="1" applyAlignment="1">
      <alignment horizontal="center" vertical="center"/>
    </xf>
    <xf numFmtId="0" fontId="8" fillId="0" borderId="56" xfId="0" applyFont="1" applyFill="1" applyBorder="1" applyAlignment="1">
      <alignment horizontal="center" vertical="center"/>
    </xf>
    <xf numFmtId="0" fontId="8" fillId="0" borderId="21" xfId="0" applyFont="1" applyFill="1" applyBorder="1" applyAlignment="1">
      <alignment horizontal="center" vertical="center"/>
    </xf>
    <xf numFmtId="4" fontId="10" fillId="0" borderId="55" xfId="0" applyNumberFormat="1" applyFont="1" applyFill="1" applyBorder="1" applyAlignment="1">
      <alignment horizontal="center" vertical="center" wrapText="1"/>
    </xf>
    <xf numFmtId="0" fontId="15" fillId="0" borderId="57" xfId="0" applyFont="1" applyBorder="1" applyAlignment="1">
      <alignment horizontal="center" vertical="center" wrapText="1"/>
    </xf>
    <xf numFmtId="0" fontId="15" fillId="0" borderId="59" xfId="0" applyFont="1" applyBorder="1" applyAlignment="1">
      <alignment horizontal="center" vertical="center" wrapText="1"/>
    </xf>
    <xf numFmtId="4" fontId="10" fillId="0" borderId="58" xfId="0" applyNumberFormat="1" applyFont="1" applyFill="1" applyBorder="1" applyAlignment="1">
      <alignment horizontal="center" vertical="center" wrapText="1"/>
    </xf>
    <xf numFmtId="0" fontId="15" fillId="0" borderId="30" xfId="0" applyFont="1" applyBorder="1" applyAlignment="1">
      <alignment horizontal="center" vertical="center" wrapText="1"/>
    </xf>
    <xf numFmtId="0" fontId="18" fillId="0" borderId="0" xfId="0" applyFont="1" applyFill="1" applyAlignment="1">
      <alignment horizontal="left" vertical="center" wrapText="1"/>
    </xf>
    <xf numFmtId="2" fontId="10" fillId="0" borderId="13" xfId="0" applyNumberFormat="1" applyFont="1" applyFill="1" applyBorder="1" applyAlignment="1">
      <alignment horizontal="center" vertical="center" wrapText="1"/>
    </xf>
    <xf numFmtId="0" fontId="15" fillId="0" borderId="58"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40" xfId="0" applyFont="1" applyBorder="1" applyAlignment="1">
      <alignment horizontal="center" vertical="center" wrapText="1"/>
    </xf>
    <xf numFmtId="4" fontId="10" fillId="0" borderId="57" xfId="0" applyNumberFormat="1" applyFont="1" applyFill="1" applyBorder="1" applyAlignment="1">
      <alignment horizontal="center" vertical="center" wrapText="1"/>
    </xf>
    <xf numFmtId="0" fontId="10" fillId="0" borderId="55" xfId="0" applyFont="1" applyFill="1" applyBorder="1" applyAlignment="1">
      <alignment horizontal="center" vertical="center"/>
    </xf>
    <xf numFmtId="0" fontId="10" fillId="0" borderId="57" xfId="0" applyFont="1" applyFill="1" applyBorder="1" applyAlignment="1">
      <alignment horizontal="center" vertical="center"/>
    </xf>
    <xf numFmtId="0" fontId="29" fillId="0" borderId="0" xfId="2" applyFont="1" applyAlignment="1">
      <alignment horizontal="center"/>
    </xf>
    <xf numFmtId="0" fontId="30" fillId="0" borderId="0" xfId="2" applyFont="1" applyAlignment="1">
      <alignment horizontal="center"/>
    </xf>
    <xf numFmtId="0" fontId="31" fillId="0" borderId="0" xfId="2" applyFont="1" applyAlignment="1">
      <alignment horizontal="center"/>
    </xf>
    <xf numFmtId="0" fontId="42" fillId="0" borderId="0" xfId="3" applyFont="1" applyAlignment="1">
      <alignment vertical="justify" wrapText="1"/>
    </xf>
    <xf numFmtId="0" fontId="37" fillId="0" borderId="0" xfId="0" applyFont="1" applyAlignment="1">
      <alignment vertical="justify" wrapText="1"/>
    </xf>
    <xf numFmtId="0" fontId="8"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8" fillId="0" borderId="69" xfId="0" applyFont="1" applyFill="1" applyBorder="1" applyAlignment="1">
      <alignment horizontal="left"/>
    </xf>
    <xf numFmtId="0" fontId="8" fillId="0" borderId="0" xfId="0" applyFont="1" applyFill="1" applyBorder="1" applyAlignment="1">
      <alignment horizontal="left"/>
    </xf>
    <xf numFmtId="0" fontId="8" fillId="0" borderId="9" xfId="0" applyFont="1" applyFill="1" applyBorder="1" applyAlignment="1">
      <alignment horizontal="left"/>
    </xf>
    <xf numFmtId="0" fontId="12" fillId="0" borderId="0" xfId="0" applyFont="1" applyFill="1" applyBorder="1" applyAlignment="1">
      <alignment horizontal="left"/>
    </xf>
    <xf numFmtId="0" fontId="7" fillId="0" borderId="0" xfId="0" applyFont="1" applyFill="1" applyBorder="1" applyAlignment="1">
      <alignment horizontal="left"/>
    </xf>
    <xf numFmtId="0" fontId="8" fillId="0" borderId="42" xfId="0" applyFont="1" applyFill="1" applyBorder="1" applyAlignment="1">
      <alignment horizontal="left"/>
    </xf>
    <xf numFmtId="0" fontId="8" fillId="0" borderId="11" xfId="0" applyFont="1" applyFill="1" applyBorder="1" applyAlignment="1">
      <alignment horizontal="left"/>
    </xf>
    <xf numFmtId="0" fontId="8" fillId="0" borderId="12" xfId="0" applyFont="1" applyFill="1" applyBorder="1" applyAlignment="1">
      <alignment horizontal="left"/>
    </xf>
    <xf numFmtId="0" fontId="8" fillId="0" borderId="42" xfId="0" applyFont="1" applyFill="1" applyBorder="1" applyAlignment="1">
      <alignment horizontal="right"/>
    </xf>
    <xf numFmtId="0" fontId="8" fillId="0" borderId="11" xfId="0" applyFont="1" applyFill="1" applyBorder="1" applyAlignment="1">
      <alignment horizontal="right"/>
    </xf>
    <xf numFmtId="0" fontId="8" fillId="0" borderId="12" xfId="0" applyFont="1" applyFill="1" applyBorder="1" applyAlignment="1">
      <alignment horizontal="right"/>
    </xf>
    <xf numFmtId="0" fontId="8" fillId="0" borderId="4" xfId="0" applyFont="1" applyBorder="1" applyAlignment="1">
      <alignment horizontal="center" vertical="center"/>
    </xf>
    <xf numFmtId="0" fontId="8" fillId="8" borderId="20" xfId="0" applyFont="1" applyFill="1" applyBorder="1" applyAlignment="1">
      <alignment horizontal="center"/>
    </xf>
    <xf numFmtId="0" fontId="8" fillId="8" borderId="56" xfId="0" applyFont="1" applyFill="1" applyBorder="1" applyAlignment="1">
      <alignment horizontal="center"/>
    </xf>
    <xf numFmtId="0" fontId="7" fillId="0" borderId="23" xfId="0" applyFont="1" applyFill="1" applyBorder="1" applyAlignment="1">
      <alignment horizontal="left"/>
    </xf>
    <xf numFmtId="0" fontId="7" fillId="0" borderId="30" xfId="0" applyFont="1" applyFill="1" applyBorder="1" applyAlignment="1">
      <alignment horizontal="left"/>
    </xf>
    <xf numFmtId="4" fontId="7" fillId="0" borderId="23" xfId="0" applyNumberFormat="1" applyFont="1" applyFill="1" applyBorder="1" applyAlignment="1">
      <alignment horizontal="right"/>
    </xf>
    <xf numFmtId="4" fontId="7" fillId="0" borderId="0" xfId="0" applyNumberFormat="1" applyFont="1" applyFill="1" applyBorder="1" applyAlignment="1">
      <alignment horizontal="right"/>
    </xf>
    <xf numFmtId="0" fontId="8" fillId="6" borderId="69" xfId="0" applyFont="1" applyFill="1" applyBorder="1" applyAlignment="1">
      <alignment horizontal="left"/>
    </xf>
    <xf numFmtId="0" fontId="8" fillId="6" borderId="0" xfId="0" applyFont="1" applyFill="1" applyBorder="1" applyAlignment="1">
      <alignment horizontal="left"/>
    </xf>
    <xf numFmtId="0" fontId="8" fillId="6" borderId="9" xfId="0" applyFont="1" applyFill="1" applyBorder="1" applyAlignment="1">
      <alignment horizontal="left"/>
    </xf>
    <xf numFmtId="0" fontId="7" fillId="0" borderId="39" xfId="0" applyFont="1" applyFill="1" applyBorder="1" applyAlignment="1">
      <alignment horizontal="left"/>
    </xf>
    <xf numFmtId="0" fontId="7" fillId="0" borderId="22" xfId="0" applyFont="1" applyFill="1" applyBorder="1" applyAlignment="1">
      <alignment horizontal="left"/>
    </xf>
    <xf numFmtId="0" fontId="7" fillId="0" borderId="38" xfId="0" applyFont="1" applyFill="1" applyBorder="1" applyAlignment="1">
      <alignment horizontal="left"/>
    </xf>
    <xf numFmtId="0" fontId="7" fillId="0" borderId="69" xfId="0" applyFont="1" applyFill="1" applyBorder="1" applyAlignment="1">
      <alignment horizontal="left"/>
    </xf>
    <xf numFmtId="0" fontId="7" fillId="0" borderId="9" xfId="0" applyFont="1" applyFill="1" applyBorder="1" applyAlignment="1">
      <alignment horizontal="left"/>
    </xf>
    <xf numFmtId="4" fontId="7" fillId="0" borderId="69" xfId="0" applyNumberFormat="1" applyFont="1" applyFill="1" applyBorder="1" applyAlignment="1">
      <alignment horizontal="right"/>
    </xf>
    <xf numFmtId="0" fontId="7" fillId="0" borderId="0" xfId="0" applyFont="1" applyFill="1" applyBorder="1" applyAlignment="1">
      <alignment horizontal="right"/>
    </xf>
    <xf numFmtId="0" fontId="7" fillId="0" borderId="30" xfId="0" applyFont="1" applyFill="1" applyBorder="1" applyAlignment="1">
      <alignment horizontal="right"/>
    </xf>
    <xf numFmtId="0" fontId="7" fillId="0" borderId="14" xfId="0" applyFont="1" applyFill="1" applyBorder="1" applyAlignment="1">
      <alignment horizontal="left"/>
    </xf>
    <xf numFmtId="0" fontId="7" fillId="0" borderId="73" xfId="0" applyFont="1" applyFill="1" applyBorder="1" applyAlignment="1">
      <alignment horizontal="right"/>
    </xf>
    <xf numFmtId="0" fontId="7" fillId="0" borderId="14" xfId="0" applyFont="1" applyFill="1" applyBorder="1" applyAlignment="1">
      <alignment horizontal="right"/>
    </xf>
    <xf numFmtId="0" fontId="7" fillId="0" borderId="58" xfId="0" applyFont="1" applyFill="1" applyBorder="1" applyAlignment="1">
      <alignment horizontal="right"/>
    </xf>
    <xf numFmtId="0" fontId="8" fillId="7" borderId="49" xfId="0" applyFont="1" applyFill="1" applyBorder="1" applyAlignment="1">
      <alignment horizontal="left"/>
    </xf>
    <xf numFmtId="4" fontId="7" fillId="0" borderId="30" xfId="0" applyNumberFormat="1" applyFont="1" applyFill="1" applyBorder="1" applyAlignment="1">
      <alignment horizontal="right"/>
    </xf>
    <xf numFmtId="0" fontId="8" fillId="7" borderId="20" xfId="0" applyFont="1" applyFill="1" applyBorder="1" applyAlignment="1">
      <alignment horizontal="left"/>
    </xf>
    <xf numFmtId="0" fontId="8" fillId="7" borderId="56" xfId="0" applyFont="1" applyFill="1" applyBorder="1" applyAlignment="1">
      <alignment horizontal="left"/>
    </xf>
    <xf numFmtId="0" fontId="8" fillId="7" borderId="21" xfId="0" applyFont="1" applyFill="1" applyBorder="1" applyAlignment="1">
      <alignment horizontal="left"/>
    </xf>
    <xf numFmtId="4" fontId="8" fillId="7" borderId="20" xfId="0" applyNumberFormat="1" applyFont="1" applyFill="1" applyBorder="1" applyAlignment="1">
      <alignment horizontal="right"/>
    </xf>
    <xf numFmtId="4" fontId="8" fillId="7" borderId="56" xfId="0" applyNumberFormat="1" applyFont="1" applyFill="1" applyBorder="1" applyAlignment="1">
      <alignment horizontal="right"/>
    </xf>
    <xf numFmtId="0" fontId="8" fillId="7" borderId="21" xfId="0" applyFont="1" applyFill="1" applyBorder="1" applyAlignment="1">
      <alignment horizontal="right"/>
    </xf>
    <xf numFmtId="0" fontId="7" fillId="0" borderId="23" xfId="0" applyFont="1" applyFill="1" applyBorder="1" applyAlignment="1">
      <alignment horizontal="right"/>
    </xf>
    <xf numFmtId="0" fontId="7" fillId="0" borderId="20" xfId="0" applyFont="1" applyFill="1" applyBorder="1" applyAlignment="1">
      <alignment horizontal="left"/>
    </xf>
    <xf numFmtId="0" fontId="7" fillId="0" borderId="56" xfId="0" applyFont="1" applyFill="1" applyBorder="1" applyAlignment="1">
      <alignment horizontal="left"/>
    </xf>
    <xf numFmtId="0" fontId="7" fillId="0" borderId="21" xfId="0" applyFont="1" applyFill="1" applyBorder="1" applyAlignment="1">
      <alignment horizontal="left"/>
    </xf>
    <xf numFmtId="4" fontId="7" fillId="0" borderId="20" xfId="0" applyNumberFormat="1" applyFont="1" applyFill="1" applyBorder="1" applyAlignment="1">
      <alignment horizontal="right"/>
    </xf>
    <xf numFmtId="4" fontId="7" fillId="0" borderId="56" xfId="0" applyNumberFormat="1" applyFont="1" applyFill="1" applyBorder="1" applyAlignment="1">
      <alignment horizontal="right"/>
    </xf>
    <xf numFmtId="4" fontId="7" fillId="0" borderId="21" xfId="0" applyNumberFormat="1" applyFont="1" applyFill="1" applyBorder="1" applyAlignment="1">
      <alignment horizontal="right"/>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8" fillId="0" borderId="16" xfId="0" applyFont="1" applyBorder="1" applyAlignment="1">
      <alignment horizontal="center" vertical="center"/>
    </xf>
    <xf numFmtId="0" fontId="8" fillId="0" borderId="62" xfId="0" applyFont="1" applyBorder="1" applyAlignment="1">
      <alignment horizontal="center"/>
    </xf>
    <xf numFmtId="0" fontId="8" fillId="0" borderId="68" xfId="0" applyFont="1" applyBorder="1" applyAlignment="1">
      <alignment horizontal="center"/>
    </xf>
    <xf numFmtId="0" fontId="8" fillId="0" borderId="65" xfId="0" applyFont="1" applyBorder="1" applyAlignment="1">
      <alignment horizontal="center"/>
    </xf>
    <xf numFmtId="0" fontId="8" fillId="0" borderId="23" xfId="0" applyFont="1" applyFill="1" applyBorder="1" applyAlignment="1">
      <alignment horizontal="left"/>
    </xf>
    <xf numFmtId="0" fontId="8" fillId="0" borderId="30" xfId="0" applyFont="1" applyFill="1" applyBorder="1" applyAlignment="1">
      <alignment horizontal="left"/>
    </xf>
    <xf numFmtId="0" fontId="7" fillId="0" borderId="74" xfId="0" applyFont="1" applyFill="1" applyBorder="1" applyAlignment="1">
      <alignment horizontal="left"/>
    </xf>
    <xf numFmtId="0" fontId="7" fillId="0" borderId="75" xfId="0" applyFont="1" applyFill="1" applyBorder="1" applyAlignment="1">
      <alignment horizontal="left"/>
    </xf>
    <xf numFmtId="4" fontId="7" fillId="14" borderId="75" xfId="0" applyNumberFormat="1" applyFont="1" applyFill="1" applyBorder="1" applyAlignment="1">
      <alignment horizontal="right"/>
    </xf>
    <xf numFmtId="4" fontId="7" fillId="14" borderId="76" xfId="0" applyNumberFormat="1" applyFont="1" applyFill="1" applyBorder="1" applyAlignment="1">
      <alignment horizontal="right"/>
    </xf>
    <xf numFmtId="0" fontId="8" fillId="0" borderId="63" xfId="0" applyFont="1" applyFill="1" applyBorder="1" applyAlignment="1">
      <alignment horizontal="left"/>
    </xf>
    <xf numFmtId="0" fontId="8" fillId="0" borderId="32" xfId="0" applyFont="1" applyFill="1" applyBorder="1" applyAlignment="1">
      <alignment horizontal="left"/>
    </xf>
    <xf numFmtId="4" fontId="8" fillId="14" borderId="32" xfId="0" applyNumberFormat="1" applyFont="1" applyFill="1" applyBorder="1" applyAlignment="1">
      <alignment horizontal="right"/>
    </xf>
    <xf numFmtId="0" fontId="8" fillId="14" borderId="64" xfId="0" applyFont="1" applyFill="1" applyBorder="1" applyAlignment="1">
      <alignment horizontal="right"/>
    </xf>
    <xf numFmtId="0" fontId="7" fillId="0" borderId="46" xfId="0" applyFont="1" applyFill="1" applyBorder="1" applyAlignment="1">
      <alignment horizontal="left"/>
    </xf>
    <xf numFmtId="0" fontId="7" fillId="0" borderId="4" xfId="0" applyFont="1" applyFill="1" applyBorder="1" applyAlignment="1">
      <alignment horizontal="left"/>
    </xf>
    <xf numFmtId="4" fontId="7" fillId="14" borderId="4" xfId="0" applyNumberFormat="1" applyFont="1" applyFill="1" applyBorder="1" applyAlignment="1">
      <alignment horizontal="right"/>
    </xf>
    <xf numFmtId="4" fontId="7" fillId="14" borderId="47" xfId="0" applyNumberFormat="1" applyFont="1" applyFill="1" applyBorder="1" applyAlignment="1">
      <alignment horizontal="right"/>
    </xf>
    <xf numFmtId="0" fontId="7" fillId="0" borderId="0" xfId="0" applyFont="1" applyFill="1" applyBorder="1" applyAlignment="1">
      <alignment horizontal="justify" vertical="justify"/>
    </xf>
    <xf numFmtId="0" fontId="0" fillId="0" borderId="29" xfId="0" applyBorder="1" applyAlignment="1">
      <alignment horizontal="center" vertical="center" wrapText="1"/>
    </xf>
    <xf numFmtId="0" fontId="0" fillId="0" borderId="37" xfId="0" applyBorder="1" applyAlignment="1">
      <alignment horizontal="center" vertical="center" wrapText="1"/>
    </xf>
    <xf numFmtId="0" fontId="8" fillId="0" borderId="15"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74" xfId="0" applyFont="1" applyFill="1" applyBorder="1" applyAlignment="1">
      <alignment horizontal="center"/>
    </xf>
    <xf numFmtId="0" fontId="8" fillId="0" borderId="75" xfId="0" applyFont="1" applyFill="1" applyBorder="1" applyAlignment="1">
      <alignment horizontal="center"/>
    </xf>
    <xf numFmtId="0" fontId="8" fillId="0" borderId="19" xfId="0" applyFont="1" applyFill="1" applyBorder="1" applyAlignment="1">
      <alignment horizontal="center"/>
    </xf>
    <xf numFmtId="0" fontId="8" fillId="0" borderId="76" xfId="0" applyFont="1" applyFill="1" applyBorder="1" applyAlignment="1">
      <alignment horizontal="center"/>
    </xf>
    <xf numFmtId="0" fontId="29" fillId="0" borderId="0" xfId="4" applyFont="1" applyAlignment="1">
      <alignment horizontal="center"/>
    </xf>
    <xf numFmtId="0" fontId="30" fillId="0" borderId="0" xfId="4" applyFont="1" applyAlignment="1">
      <alignment horizontal="center"/>
    </xf>
    <xf numFmtId="0" fontId="31" fillId="0" borderId="0" xfId="4" applyFont="1" applyAlignment="1">
      <alignment horizontal="center"/>
    </xf>
    <xf numFmtId="0" fontId="30" fillId="6" borderId="0" xfId="4" applyFont="1" applyFill="1" applyAlignment="1">
      <alignment horizontal="center" vertical="center"/>
    </xf>
    <xf numFmtId="0" fontId="33" fillId="9" borderId="1" xfId="4" applyFont="1" applyFill="1" applyBorder="1" applyAlignment="1">
      <alignment horizontal="left"/>
    </xf>
    <xf numFmtId="0" fontId="33" fillId="9" borderId="3" xfId="4" applyFont="1" applyFill="1" applyBorder="1" applyAlignment="1">
      <alignment horizontal="left"/>
    </xf>
    <xf numFmtId="0" fontId="48" fillId="15" borderId="1" xfId="0" applyFont="1" applyFill="1" applyBorder="1" applyAlignment="1">
      <alignment horizontal="center"/>
    </xf>
    <xf numFmtId="0" fontId="48" fillId="15" borderId="3" xfId="0" applyFont="1" applyFill="1" applyBorder="1" applyAlignment="1">
      <alignment horizontal="center"/>
    </xf>
    <xf numFmtId="0" fontId="47" fillId="15" borderId="4" xfId="0" applyFont="1" applyFill="1" applyBorder="1" applyAlignment="1">
      <alignment horizontal="center" vertical="center"/>
    </xf>
    <xf numFmtId="0" fontId="0" fillId="0" borderId="0" xfId="0" applyAlignment="1">
      <alignment horizontal="center"/>
    </xf>
    <xf numFmtId="0" fontId="47" fillId="0" borderId="0" xfId="0" applyFont="1" applyAlignment="1">
      <alignment horizontal="center" vertical="center"/>
    </xf>
    <xf numFmtId="0" fontId="48" fillId="15" borderId="5" xfId="0" applyFont="1" applyFill="1" applyBorder="1" applyAlignment="1">
      <alignment horizontal="center" vertical="center"/>
    </xf>
    <xf numFmtId="0" fontId="48" fillId="15" borderId="8" xfId="0" applyFont="1" applyFill="1" applyBorder="1" applyAlignment="1">
      <alignment horizontal="center" vertical="center"/>
    </xf>
    <xf numFmtId="0" fontId="48" fillId="15" borderId="10" xfId="0" applyFont="1" applyFill="1" applyBorder="1" applyAlignment="1">
      <alignment horizontal="center" vertical="center"/>
    </xf>
    <xf numFmtId="0" fontId="48" fillId="16" borderId="5" xfId="0" applyFont="1" applyFill="1" applyBorder="1" applyAlignment="1">
      <alignment horizontal="center" vertical="center" wrapText="1"/>
    </xf>
    <xf numFmtId="0" fontId="48" fillId="16" borderId="8" xfId="0" applyFont="1" applyFill="1" applyBorder="1" applyAlignment="1">
      <alignment horizontal="center" vertical="center" wrapText="1"/>
    </xf>
    <xf numFmtId="0" fontId="48" fillId="16" borderId="10" xfId="0" applyFont="1" applyFill="1" applyBorder="1" applyAlignment="1">
      <alignment horizontal="center" vertical="center" wrapText="1"/>
    </xf>
    <xf numFmtId="0" fontId="47" fillId="15" borderId="5" xfId="0" applyFont="1" applyFill="1" applyBorder="1" applyAlignment="1">
      <alignment horizontal="center" vertical="center"/>
    </xf>
    <xf numFmtId="0" fontId="47" fillId="15" borderId="8" xfId="0" applyFont="1" applyFill="1" applyBorder="1" applyAlignment="1">
      <alignment horizontal="center" vertical="center"/>
    </xf>
    <xf numFmtId="0" fontId="47" fillId="15" borderId="10" xfId="0" applyFont="1" applyFill="1" applyBorder="1" applyAlignment="1">
      <alignment horizontal="center" vertical="center"/>
    </xf>
    <xf numFmtId="0" fontId="28" fillId="0" borderId="0" xfId="4" applyAlignment="1">
      <alignment horizontal="center"/>
    </xf>
    <xf numFmtId="0" fontId="30" fillId="10" borderId="20" xfId="4" applyFont="1" applyFill="1" applyBorder="1" applyAlignment="1">
      <alignment horizontal="center"/>
    </xf>
    <xf numFmtId="0" fontId="30" fillId="10" borderId="56" xfId="4" applyFont="1" applyFill="1" applyBorder="1" applyAlignment="1">
      <alignment horizontal="center"/>
    </xf>
    <xf numFmtId="0" fontId="30" fillId="10" borderId="21" xfId="4" applyFont="1" applyFill="1" applyBorder="1" applyAlignment="1">
      <alignment horizontal="center"/>
    </xf>
    <xf numFmtId="0" fontId="28" fillId="0" borderId="22" xfId="4" applyBorder="1" applyAlignment="1">
      <alignment horizontal="center"/>
    </xf>
    <xf numFmtId="0" fontId="30" fillId="10" borderId="0" xfId="4" applyFont="1" applyFill="1" applyAlignment="1">
      <alignment horizontal="center"/>
    </xf>
    <xf numFmtId="0" fontId="28" fillId="0" borderId="0" xfId="4" applyFill="1" applyBorder="1" applyAlignment="1">
      <alignment horizontal="center"/>
    </xf>
    <xf numFmtId="0" fontId="28" fillId="0" borderId="0" xfId="4" applyBorder="1" applyAlignment="1">
      <alignment horizontal="center"/>
    </xf>
    <xf numFmtId="0" fontId="30" fillId="11" borderId="0" xfId="4" applyFont="1" applyFill="1" applyAlignment="1">
      <alignment horizontal="center"/>
    </xf>
    <xf numFmtId="0" fontId="28" fillId="0" borderId="22" xfId="4" applyFont="1" applyBorder="1" applyAlignment="1">
      <alignment horizontal="center"/>
    </xf>
    <xf numFmtId="0" fontId="45" fillId="12" borderId="0" xfId="4" applyFont="1" applyFill="1" applyAlignment="1">
      <alignment horizontal="center" vertical="center"/>
    </xf>
    <xf numFmtId="0" fontId="30" fillId="6" borderId="0" xfId="4" applyFont="1" applyFill="1" applyAlignment="1">
      <alignment horizontal="center"/>
    </xf>
    <xf numFmtId="0" fontId="8" fillId="0" borderId="11" xfId="0" applyFont="1" applyBorder="1" applyAlignment="1">
      <alignment horizontal="center" vertical="center"/>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4" fontId="7" fillId="0" borderId="4" xfId="0" applyNumberFormat="1" applyFont="1" applyBorder="1" applyAlignment="1">
      <alignment horizontal="center" vertical="center"/>
    </xf>
    <xf numFmtId="0" fontId="8" fillId="0" borderId="74"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75" xfId="0" applyFont="1" applyBorder="1" applyAlignment="1">
      <alignment horizontal="center" wrapText="1"/>
    </xf>
    <xf numFmtId="0" fontId="8" fillId="0" borderId="4" xfId="0" applyFont="1" applyBorder="1" applyAlignment="1">
      <alignment horizontal="center" wrapText="1"/>
    </xf>
  </cellXfs>
  <cellStyles count="8">
    <cellStyle name="Moneda" xfId="1" builtinId="4"/>
    <cellStyle name="Moneda 2" xfId="6"/>
    <cellStyle name="Normal" xfId="0" builtinId="0"/>
    <cellStyle name="Normal 2" xfId="4"/>
    <cellStyle name="Normal 2 2" xfId="5"/>
    <cellStyle name="Normal 3" xfId="2"/>
    <cellStyle name="Normal 3 2" xfId="3"/>
    <cellStyle name="Porcentaje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1.xml"/><Relationship Id="rId58" Type="http://schemas.openxmlformats.org/officeDocument/2006/relationships/externalLink" Target="externalLinks/externalLink6.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2.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5.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1</xdr:col>
      <xdr:colOff>590550</xdr:colOff>
      <xdr:row>4</xdr:row>
      <xdr:rowOff>152400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62" t="28882" r="6717" b="49712"/>
        <a:stretch>
          <a:fillRect/>
        </a:stretch>
      </xdr:blipFill>
      <xdr:spPr bwMode="auto">
        <a:xfrm>
          <a:off x="0" y="9525"/>
          <a:ext cx="16954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9525</xdr:rowOff>
    </xdr:from>
    <xdr:to>
      <xdr:col>2</xdr:col>
      <xdr:colOff>47625</xdr:colOff>
      <xdr:row>4</xdr:row>
      <xdr:rowOff>152400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62" t="28882" r="6717" b="49712"/>
        <a:stretch>
          <a:fillRect/>
        </a:stretch>
      </xdr:blipFill>
      <xdr:spPr bwMode="auto">
        <a:xfrm>
          <a:off x="0" y="9525"/>
          <a:ext cx="16954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9525</xdr:rowOff>
    </xdr:from>
    <xdr:to>
      <xdr:col>2</xdr:col>
      <xdr:colOff>47625</xdr:colOff>
      <xdr:row>4</xdr:row>
      <xdr:rowOff>152400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62" t="28882" r="6717" b="49712"/>
        <a:stretch>
          <a:fillRect/>
        </a:stretch>
      </xdr:blipFill>
      <xdr:spPr bwMode="auto">
        <a:xfrm>
          <a:off x="0" y="9525"/>
          <a:ext cx="16954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9525</xdr:rowOff>
    </xdr:from>
    <xdr:to>
      <xdr:col>2</xdr:col>
      <xdr:colOff>28575</xdr:colOff>
      <xdr:row>4</xdr:row>
      <xdr:rowOff>152400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62" t="28882" r="6717" b="49712"/>
        <a:stretch>
          <a:fillRect/>
        </a:stretch>
      </xdr:blipFill>
      <xdr:spPr bwMode="auto">
        <a:xfrm>
          <a:off x="0" y="9525"/>
          <a:ext cx="17716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9525</xdr:rowOff>
    </xdr:from>
    <xdr:to>
      <xdr:col>2</xdr:col>
      <xdr:colOff>9525</xdr:colOff>
      <xdr:row>4</xdr:row>
      <xdr:rowOff>152400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62" t="28882" r="6717" b="49712"/>
        <a:stretch>
          <a:fillRect/>
        </a:stretch>
      </xdr:blipFill>
      <xdr:spPr bwMode="auto">
        <a:xfrm>
          <a:off x="0" y="9525"/>
          <a:ext cx="17049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9525</xdr:rowOff>
    </xdr:from>
    <xdr:to>
      <xdr:col>2</xdr:col>
      <xdr:colOff>9525</xdr:colOff>
      <xdr:row>4</xdr:row>
      <xdr:rowOff>152400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62" t="28882" r="6717" b="49712"/>
        <a:stretch>
          <a:fillRect/>
        </a:stretch>
      </xdr:blipFill>
      <xdr:spPr bwMode="auto">
        <a:xfrm>
          <a:off x="0" y="9525"/>
          <a:ext cx="16954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752475</xdr:colOff>
      <xdr:row>3</xdr:row>
      <xdr:rowOff>95250</xdr:rowOff>
    </xdr:to>
    <xdr:pic>
      <xdr:nvPicPr>
        <xdr:cNvPr id="2" name="Imagen 1" descr="C:\Users\rosamaria.estrada\AppData\Local\Temp\Logo_SAF_H-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2625" cy="61912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628650</xdr:colOff>
      <xdr:row>3</xdr:row>
      <xdr:rowOff>95250</xdr:rowOff>
    </xdr:to>
    <xdr:pic>
      <xdr:nvPicPr>
        <xdr:cNvPr id="2" name="Imagen 1" descr="C:\Users\rosamaria.estrada\AppData\Local\Temp\Logo_SAF_H-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4025" cy="6191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UARIO/ANSELMO/Recaudacion%20Federal/PC%20PACO/Anselmo%20OK/Presupuesto%202018/CALCULO%20DEL%20COEFICIENTE%202018%20%20LYA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uarios/CP.LIBIA%20ESTRADA/Desktop/2020/factores%202020/formulas%20coeficiente%202020.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uarios/CP.LIBIA%20ESTRADA/Downloads/ESTIMACION%20DE%20PARTICIPACIONES%202017%20POE%20corregid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CAUDACION%20FEDERAL/Presupuesto%202020/Publicacion/CALCULO%20DEL%20COEFICIENTE%20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UARIO/ANSELMO/Recaudacion%20Federal/PC%20PACO/Anselmo%20OK/Presupuesto%202022/Distribuci&#243;n%20y%20Calendarizaci&#243;n%20para%20la%20Ministraci&#243;n%20durante%20el%20Ejercicio%20Fiscal%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UARIO/ANSELMO/Recaudacion%20Federal/PC%20PACO/Anselmo%20OK/Presupuesto%202019/CALCULO%20DEL%20COEFICIENTE%202019%20DO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IO"/>
      <sheetName val="IEPS GyD coeficiente"/>
      <sheetName val="FOFIR 2018 coeficiente"/>
      <sheetName val="IEPS TyA (sin incremento"/>
      <sheetName val="FFM"/>
      <sheetName val="FFM coeficiente"/>
      <sheetName val="FGPcoeficientes desg"/>
      <sheetName val="FGPcoeficientes lia"/>
      <sheetName val="focoisan"/>
      <sheetName val="ISAN2018"/>
      <sheetName val="FOCOISAN1.1"/>
      <sheetName val="incentivo isan"/>
      <sheetName val="IEPS GyD"/>
      <sheetName val="FOFIR 2018"/>
      <sheetName val="FOCO2018"/>
      <sheetName val="FGP total2018"/>
      <sheetName val="FGP total2018 (2)"/>
      <sheetName val="FGP total2018 (3)"/>
      <sheetName val="LEY DE INGRESOS"/>
      <sheetName val="Datos"/>
      <sheetName val="Inicio"/>
      <sheetName val="1. Relleno"/>
      <sheetName val="2. Analizar"/>
      <sheetName val="3. Gráfico"/>
      <sheetName val="FGPmodificado"/>
      <sheetName val="FGP total"/>
      <sheetName val="FFM (3)"/>
      <sheetName val="FFM (2)"/>
      <sheetName val="FOFIR"/>
      <sheetName val="IEPS TyA (2)"/>
      <sheetName val="FOCOmodificado"/>
      <sheetName val="CENSO"/>
      <sheetName val="predial y agua"/>
      <sheetName val=" total"/>
      <sheetName val="ISAN  ok"/>
      <sheetName val="FOCO is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3">
          <cell r="I13">
            <v>976528016.10000002</v>
          </cell>
        </row>
        <row r="18">
          <cell r="K18">
            <v>279523846.57499999</v>
          </cell>
        </row>
        <row r="23">
          <cell r="K23">
            <v>432473544</v>
          </cell>
        </row>
        <row r="64">
          <cell r="K64">
            <v>36123142</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total (2)"/>
      <sheetName val="FFM total (2)"/>
      <sheetName val="ISAN modificado"/>
      <sheetName val="gassimpl"/>
      <sheetName val="gasolina2020"/>
      <sheetName val="foco simpl"/>
      <sheetName val="FOCO2020"/>
      <sheetName val="IEPS"/>
      <sheetName val="IEPS TyA 2020"/>
      <sheetName val="FOFIR simpl"/>
      <sheetName val="FOFIR2020"/>
      <sheetName val="F.F.M. simplif"/>
      <sheetName val="FFM 2020"/>
      <sheetName val="FGP simpl"/>
      <sheetName val="fgp2020"/>
      <sheetName val="LEY DE INGRESOS"/>
      <sheetName val="Datos"/>
      <sheetName val="Inicio"/>
      <sheetName val="1. Relleno"/>
      <sheetName val="2. Analizar"/>
      <sheetName val="3. Gráfico"/>
      <sheetName val="FGP total"/>
      <sheetName val="FFM"/>
      <sheetName val="FOFIR"/>
      <sheetName val="publicacion ieps"/>
      <sheetName val="FOCOmodificado"/>
      <sheetName val="IEPS GyD"/>
      <sheetName val="CENSO"/>
      <sheetName val="convenio"/>
      <sheetName val="predial y agua"/>
      <sheetName val=" total"/>
      <sheetName val="ISAN  ok"/>
      <sheetName val="Hoja1"/>
    </sheetNames>
    <sheetDataSet>
      <sheetData sheetId="0"/>
      <sheetData sheetId="1"/>
      <sheetData sheetId="2"/>
      <sheetData sheetId="3"/>
      <sheetData sheetId="4"/>
      <sheetData sheetId="5"/>
      <sheetData sheetId="6"/>
      <sheetData sheetId="7"/>
      <sheetData sheetId="8"/>
      <sheetData sheetId="9"/>
      <sheetData sheetId="10"/>
      <sheetData sheetId="11">
        <row r="16">
          <cell r="E16">
            <v>0</v>
          </cell>
        </row>
      </sheetData>
      <sheetData sheetId="12"/>
      <sheetData sheetId="13">
        <row r="16">
          <cell r="C16">
            <v>3.6636711021849497</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STO ESTATAL 2017"/>
      <sheetName val="ISANACUMULADO"/>
      <sheetName val="ISAN2017 FONDO"/>
      <sheetName val="ISAN2017"/>
      <sheetName val="F.G.P. (total)"/>
      <sheetName val="F.G.P.incremento"/>
      <sheetName val="F.G.P. 2014"/>
      <sheetName val="F.G.P 2017."/>
      <sheetName val="F.F.M.CONC"/>
      <sheetName val="F.F.M.70%"/>
      <sheetName val="F.F.M.30%"/>
      <sheetName val="F.F.M.100% 2014"/>
      <sheetName val="F.F.M.100% 2015 factr 14"/>
      <sheetName val="IEPS 2014 "/>
      <sheetName val="IEPS (incremento)"/>
      <sheetName val="IEPS tptal)"/>
      <sheetName val="IEPSGAS (total)"/>
      <sheetName val="IEPSGAS incremento"/>
      <sheetName val="IEPSGAS 2014  "/>
      <sheetName val="FOFIE"/>
      <sheetName val="FOFIE variacion"/>
      <sheetName val="FOFIE 2014 "/>
      <sheetName val="F.C 2017"/>
      <sheetName val=" INCREMENTO"/>
      <sheetName val=" fc 2014"/>
      <sheetName val="ISANYFCISAN public)"/>
      <sheetName val="ISANYFCISAN"/>
      <sheetName val="TENENCIAESTATAL"/>
      <sheetName val="CONCENTRADO"/>
      <sheetName val="CONCENTRADOBRUTO"/>
    </sheetNames>
    <sheetDataSet>
      <sheetData sheetId="0">
        <row r="52">
          <cell r="B52">
            <v>1521250.4468291907</v>
          </cell>
          <cell r="C52">
            <v>1992155.4322061262</v>
          </cell>
          <cell r="D52">
            <v>1561223.5204092669</v>
          </cell>
          <cell r="E52">
            <v>1709133.4840227321</v>
          </cell>
          <cell r="F52">
            <v>1794276.5472658337</v>
          </cell>
          <cell r="G52">
            <v>1664193.9164477964</v>
          </cell>
          <cell r="H52">
            <v>1722567.8942233375</v>
          </cell>
          <cell r="I52">
            <v>1774773.0179705636</v>
          </cell>
          <cell r="J52">
            <v>1814273.0193366187</v>
          </cell>
          <cell r="K52">
            <v>1772942.0603667807</v>
          </cell>
          <cell r="L52">
            <v>1696337.0334839264</v>
          </cell>
          <cell r="M52">
            <v>1676873.6274378267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IO 2020"/>
      <sheetName val="Consolidado"/>
      <sheetName val="FGP"/>
      <sheetName val="FFM"/>
      <sheetName val="FOCO"/>
      <sheetName val="IEPS TyA"/>
      <sheetName val="IEPS GyD "/>
      <sheetName val="FOFIR"/>
      <sheetName val="FOCO ISAN"/>
      <sheetName val="Incentivo ISAN"/>
      <sheetName val="Predial y Agua"/>
      <sheetName val="CENSO 2015"/>
      <sheetName val="IEPS 2014 "/>
      <sheetName val="F.G.P. 2020"/>
      <sheetName val="F.F.M.2020"/>
      <sheetName val="FOCO 2020"/>
      <sheetName val="IEPS2020"/>
      <sheetName val="IEPSGAS 2020"/>
      <sheetName val="FOFIR 2020"/>
      <sheetName val="FOCO ISAN "/>
      <sheetName val="ISAN Recaudacion"/>
      <sheetName val=" FOCO INCREMENTO"/>
      <sheetName val=" FOCO ESTIMACION"/>
      <sheetName val="FOFIR  INCREMENTO"/>
      <sheetName val="FFOR ESTIMACIONES"/>
      <sheetName val="IEPSGASINCREMENTO"/>
      <sheetName val="IEPSGAS ESTIMACIONES"/>
      <sheetName val="IEPS INCREMENTO"/>
      <sheetName val="IEPS ESTIMACIONES"/>
      <sheetName val="F.F.M30%"/>
      <sheetName val="F.F.M.70%"/>
      <sheetName val="F.F.M.ESTIIMACIONES 2014"/>
      <sheetName val="F.G.P.INCREMENTO"/>
      <sheetName val="F.G.P. ESTIMACIONES 2014"/>
      <sheetName val="Datos"/>
      <sheetName val="FGP 30%"/>
      <sheetName val="FGP 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71921.637981858948</v>
          </cell>
          <cell r="D7">
            <v>72714.40462331436</v>
          </cell>
          <cell r="E7">
            <v>34643.126341425232</v>
          </cell>
          <cell r="F7">
            <v>62668.386484099698</v>
          </cell>
          <cell r="G7">
            <v>43544.749119533568</v>
          </cell>
          <cell r="H7">
            <v>62200.112577045591</v>
          </cell>
          <cell r="I7">
            <v>41862.518405549519</v>
          </cell>
          <cell r="J7">
            <v>47840.912596100716</v>
          </cell>
          <cell r="K7">
            <v>51668.483252273618</v>
          </cell>
          <cell r="L7">
            <v>30189.389735093839</v>
          </cell>
          <cell r="M7">
            <v>44986.273443360027</v>
          </cell>
          <cell r="N7">
            <v>88831.860683975567</v>
          </cell>
        </row>
        <row r="8">
          <cell r="C8">
            <v>73311.131192327855</v>
          </cell>
          <cell r="D8">
            <v>74119.213723363922</v>
          </cell>
          <cell r="E8">
            <v>35312.415726254992</v>
          </cell>
          <cell r="F8">
            <v>63879.111100141701</v>
          </cell>
          <cell r="G8">
            <v>44386.013792460319</v>
          </cell>
          <cell r="H8">
            <v>63401.790354990626</v>
          </cell>
          <cell r="I8">
            <v>42671.283149093222</v>
          </cell>
          <cell r="J8">
            <v>48765.177186010173</v>
          </cell>
          <cell r="K8">
            <v>52666.69475980867</v>
          </cell>
          <cell r="L8">
            <v>30772.634962012806</v>
          </cell>
          <cell r="M8">
            <v>45855.387708104856</v>
          </cell>
          <cell r="N8">
            <v>90548.051676800824</v>
          </cell>
        </row>
        <row r="9">
          <cell r="C9">
            <v>85878.521441046003</v>
          </cell>
          <cell r="D9">
            <v>86825.129846059644</v>
          </cell>
          <cell r="E9">
            <v>41365.860842148402</v>
          </cell>
          <cell r="F9">
            <v>74829.613498346647</v>
          </cell>
          <cell r="G9">
            <v>51994.904118425045</v>
          </cell>
          <cell r="H9">
            <v>74270.467851839378</v>
          </cell>
          <cell r="I9">
            <v>49986.225082554018</v>
          </cell>
          <cell r="J9">
            <v>57124.767363887717</v>
          </cell>
          <cell r="K9">
            <v>61695.104162198317</v>
          </cell>
          <cell r="L9">
            <v>36047.846328406704</v>
          </cell>
          <cell r="M9">
            <v>53716.166050512089</v>
          </cell>
          <cell r="N9">
            <v>106070.28797538001</v>
          </cell>
        </row>
        <row r="10">
          <cell r="C10">
            <v>205489.76872183758</v>
          </cell>
          <cell r="D10">
            <v>207754.80937405623</v>
          </cell>
          <cell r="E10">
            <v>98980.059679626225</v>
          </cell>
          <cell r="F10">
            <v>179051.98777642648</v>
          </cell>
          <cell r="G10">
            <v>124413.19019848215</v>
          </cell>
          <cell r="H10">
            <v>177714.0664003409</v>
          </cell>
          <cell r="I10">
            <v>119606.8313605404</v>
          </cell>
          <cell r="J10">
            <v>136687.90562436922</v>
          </cell>
          <cell r="K10">
            <v>147623.78849597246</v>
          </cell>
          <cell r="L10">
            <v>86255.136681990058</v>
          </cell>
          <cell r="M10">
            <v>128531.81858657196</v>
          </cell>
          <cell r="N10">
            <v>253804.54365743059</v>
          </cell>
        </row>
        <row r="11">
          <cell r="C11">
            <v>111507.25115785327</v>
          </cell>
          <cell r="D11">
            <v>112736.35593742788</v>
          </cell>
          <cell r="E11">
            <v>53710.675927888537</v>
          </cell>
          <cell r="F11">
            <v>97161.017288045157</v>
          </cell>
          <cell r="G11">
            <v>67511.744906342006</v>
          </cell>
          <cell r="H11">
            <v>96435.005789562303</v>
          </cell>
          <cell r="I11">
            <v>64903.615725844356</v>
          </cell>
          <cell r="J11">
            <v>74172.513393255533</v>
          </cell>
          <cell r="K11">
            <v>80106.775938693594</v>
          </cell>
          <cell r="L11">
            <v>46805.606184087868</v>
          </cell>
          <cell r="M11">
            <v>69746.683088195103</v>
          </cell>
          <cell r="N11">
            <v>137724.84718167805</v>
          </cell>
        </row>
        <row r="12">
          <cell r="C12">
            <v>76122.317048695186</v>
          </cell>
          <cell r="D12">
            <v>76961.386281819723</v>
          </cell>
          <cell r="E12">
            <v>36666.504280466252</v>
          </cell>
          <cell r="F12">
            <v>66328.617071764587</v>
          </cell>
          <cell r="G12">
            <v>46088.038194000961</v>
          </cell>
          <cell r="H12">
            <v>65832.99300342238</v>
          </cell>
          <cell r="I12">
            <v>44307.554554414681</v>
          </cell>
          <cell r="J12">
            <v>50635.124820959565</v>
          </cell>
          <cell r="K12">
            <v>54686.249839677403</v>
          </cell>
          <cell r="L12">
            <v>31952.641255210176</v>
          </cell>
          <cell r="M12">
            <v>47613.756666088615</v>
          </cell>
          <cell r="N12">
            <v>94020.203832353407</v>
          </cell>
        </row>
        <row r="13">
          <cell r="C13">
            <v>82653.323596917879</v>
          </cell>
          <cell r="D13">
            <v>83564.381792917033</v>
          </cell>
          <cell r="E13">
            <v>39812.351501629695</v>
          </cell>
          <cell r="F13">
            <v>72019.361248050467</v>
          </cell>
          <cell r="G13">
            <v>50042.217348153725</v>
          </cell>
          <cell r="H13">
            <v>71481.214511438346</v>
          </cell>
          <cell r="I13">
            <v>48108.974954499266</v>
          </cell>
          <cell r="J13">
            <v>54979.426789122379</v>
          </cell>
          <cell r="K13">
            <v>59378.12299393522</v>
          </cell>
          <cell r="L13">
            <v>34694.056878926604</v>
          </cell>
          <cell r="M13">
            <v>51698.836687664727</v>
          </cell>
          <cell r="N13">
            <v>102086.78129217416</v>
          </cell>
        </row>
        <row r="14">
          <cell r="C14">
            <v>67392.542637064718</v>
          </cell>
          <cell r="D14">
            <v>68135.386670997919</v>
          </cell>
          <cell r="E14">
            <v>32461.557252555991</v>
          </cell>
          <cell r="F14">
            <v>58721.992805433852</v>
          </cell>
          <cell r="G14">
            <v>40802.621352959941</v>
          </cell>
          <cell r="H14">
            <v>58283.207342080968</v>
          </cell>
          <cell r="I14">
            <v>39226.325146439369</v>
          </cell>
          <cell r="J14">
            <v>44828.244077839765</v>
          </cell>
          <cell r="K14">
            <v>48414.782508841214</v>
          </cell>
          <cell r="L14">
            <v>28288.284193728385</v>
          </cell>
          <cell r="M14">
            <v>42153.369085934886</v>
          </cell>
          <cell r="N14">
            <v>83237.883989580994</v>
          </cell>
        </row>
        <row r="15">
          <cell r="C15">
            <v>69443.740981893265</v>
          </cell>
          <cell r="D15">
            <v>70209.19464581291</v>
          </cell>
          <cell r="E15">
            <v>33449.575954648695</v>
          </cell>
          <cell r="F15">
            <v>60509.289288610227</v>
          </cell>
          <cell r="G15">
            <v>42044.513498721288</v>
          </cell>
          <cell r="H15">
            <v>60057.148697509576</v>
          </cell>
          <cell r="I15">
            <v>40420.240230596333</v>
          </cell>
          <cell r="J15">
            <v>46192.66240152924</v>
          </cell>
          <cell r="K15">
            <v>49888.362787332611</v>
          </cell>
          <cell r="L15">
            <v>29149.282747065394</v>
          </cell>
          <cell r="M15">
            <v>43436.373369712455</v>
          </cell>
          <cell r="N15">
            <v>85771.360294013473</v>
          </cell>
        </row>
        <row r="16">
          <cell r="C16">
            <v>77090.478176598554</v>
          </cell>
          <cell r="D16">
            <v>77940.219105575583</v>
          </cell>
          <cell r="E16">
            <v>37132.846944704143</v>
          </cell>
          <cell r="F16">
            <v>67172.217098749985</v>
          </cell>
          <cell r="G16">
            <v>46674.208567824622</v>
          </cell>
          <cell r="H16">
            <v>66670.289439350308</v>
          </cell>
          <cell r="I16">
            <v>44871.079860201171</v>
          </cell>
          <cell r="J16">
            <v>51279.127282508758</v>
          </cell>
          <cell r="K16">
            <v>55381.776504895941</v>
          </cell>
          <cell r="L16">
            <v>32359.030687330938</v>
          </cell>
          <cell r="M16">
            <v>48219.331879045792</v>
          </cell>
          <cell r="N16">
            <v>95215.9991012994</v>
          </cell>
        </row>
        <row r="17">
          <cell r="C17">
            <v>69624.767375500349</v>
          </cell>
          <cell r="D17">
            <v>70392.216428987042</v>
          </cell>
          <cell r="E17">
            <v>33536.772525817512</v>
          </cell>
          <cell r="F17">
            <v>60667.025295696898</v>
          </cell>
          <cell r="G17">
            <v>42154.115408728161</v>
          </cell>
          <cell r="H17">
            <v>60213.706061575984</v>
          </cell>
          <cell r="I17">
            <v>40525.607974531449</v>
          </cell>
          <cell r="J17">
            <v>46313.077732953265</v>
          </cell>
          <cell r="K17">
            <v>50018.412094450257</v>
          </cell>
          <cell r="L17">
            <v>29225.269286058308</v>
          </cell>
          <cell r="M17">
            <v>43549.603589042657</v>
          </cell>
          <cell r="N17">
            <v>85994.949631357027</v>
          </cell>
        </row>
        <row r="18">
          <cell r="C18">
            <v>66507.731791109924</v>
          </cell>
          <cell r="D18">
            <v>67240.822869710712</v>
          </cell>
          <cell r="E18">
            <v>32035.362649863451</v>
          </cell>
          <cell r="F18">
            <v>57951.019429193388</v>
          </cell>
          <cell r="G18">
            <v>40266.915167916413</v>
          </cell>
          <cell r="H18">
            <v>57517.994872341886</v>
          </cell>
          <cell r="I18">
            <v>38711.314485342431</v>
          </cell>
          <cell r="J18">
            <v>44239.684646586524</v>
          </cell>
          <cell r="K18">
            <v>47779.134661288343</v>
          </cell>
          <cell r="L18">
            <v>27916.881369489249</v>
          </cell>
          <cell r="M18">
            <v>41599.928650223272</v>
          </cell>
          <cell r="N18">
            <v>82145.036329196053</v>
          </cell>
        </row>
        <row r="19">
          <cell r="C19">
            <v>77421.027611018057</v>
          </cell>
          <cell r="D19">
            <v>78274.412068873367</v>
          </cell>
          <cell r="E19">
            <v>37292.065590719547</v>
          </cell>
          <cell r="F19">
            <v>67460.23889983198</v>
          </cell>
          <cell r="G19">
            <v>46874.338773382959</v>
          </cell>
          <cell r="H19">
            <v>66956.159069271118</v>
          </cell>
          <cell r="I19">
            <v>45063.478589854974</v>
          </cell>
          <cell r="J19">
            <v>51499.002511222854</v>
          </cell>
          <cell r="K19">
            <v>55619.243119889616</v>
          </cell>
          <cell r="L19">
            <v>32497.780109374446</v>
          </cell>
          <cell r="M19">
            <v>48426.087282017768</v>
          </cell>
          <cell r="N19">
            <v>95624.267351737843</v>
          </cell>
        </row>
        <row r="20">
          <cell r="C20">
            <v>120772.649929829</v>
          </cell>
          <cell r="D20">
            <v>122103.88390546081</v>
          </cell>
          <cell r="E20">
            <v>58173.621840524793</v>
          </cell>
          <cell r="F20">
            <v>105234.35387303698</v>
          </cell>
          <cell r="G20">
            <v>73121.453977760611</v>
          </cell>
          <cell r="H20">
            <v>104448.01637802352</v>
          </cell>
          <cell r="I20">
            <v>70296.609232533199</v>
          </cell>
          <cell r="J20">
            <v>80335.681325136014</v>
          </cell>
          <cell r="K20">
            <v>86763.0356500786</v>
          </cell>
          <cell r="L20">
            <v>50694.793672403823</v>
          </cell>
          <cell r="M20">
            <v>75542.098409840124</v>
          </cell>
          <cell r="N20">
            <v>149168.72743787066</v>
          </cell>
        </row>
        <row r="21">
          <cell r="C21">
            <v>66633.610476617425</v>
          </cell>
          <cell r="D21">
            <v>67368.089071208393</v>
          </cell>
          <cell r="E21">
            <v>32095.995740656355</v>
          </cell>
          <cell r="F21">
            <v>58060.702889343229</v>
          </cell>
          <cell r="G21">
            <v>40343.12805646746</v>
          </cell>
          <cell r="H21">
            <v>57626.858750158332</v>
          </cell>
          <cell r="I21">
            <v>38784.583100140284</v>
          </cell>
          <cell r="J21">
            <v>44323.416766155249</v>
          </cell>
          <cell r="K21">
            <v>47869.565871372884</v>
          </cell>
          <cell r="L21">
            <v>27969.719441629451</v>
          </cell>
          <cell r="M21">
            <v>41678.664523401785</v>
          </cell>
          <cell r="N21">
            <v>82300.511623806335</v>
          </cell>
        </row>
        <row r="22">
          <cell r="C22">
            <v>138677.17519096044</v>
          </cell>
          <cell r="D22">
            <v>140205.76438202406</v>
          </cell>
          <cell r="E22">
            <v>66797.851600990878</v>
          </cell>
          <cell r="F22">
            <v>120835.32932860054</v>
          </cell>
          <cell r="G22">
            <v>83961.697365946122</v>
          </cell>
          <cell r="H22">
            <v>119932.41743076142</v>
          </cell>
          <cell r="I22">
            <v>80718.069857161856</v>
          </cell>
          <cell r="J22">
            <v>92245.43271745721</v>
          </cell>
          <cell r="K22">
            <v>99625.641251858979</v>
          </cell>
          <cell r="L22">
            <v>58210.288401076003</v>
          </cell>
          <cell r="M22">
            <v>86741.201932398515</v>
          </cell>
          <cell r="N22">
            <v>171282.96646577941</v>
          </cell>
        </row>
        <row r="23">
          <cell r="C23">
            <v>73776.990109242557</v>
          </cell>
          <cell r="D23">
            <v>74590.207637468862</v>
          </cell>
          <cell r="E23">
            <v>35536.810077785558</v>
          </cell>
          <cell r="F23">
            <v>64285.033816468582</v>
          </cell>
          <cell r="G23">
            <v>44668.066735515713</v>
          </cell>
          <cell r="H23">
            <v>63804.679914936743</v>
          </cell>
          <cell r="I23">
            <v>42942.439758299617</v>
          </cell>
          <cell r="J23">
            <v>49075.057721988123</v>
          </cell>
          <cell r="K23">
            <v>53001.367666627069</v>
          </cell>
          <cell r="L23">
            <v>30968.181070234841</v>
          </cell>
          <cell r="M23">
            <v>46146.777854525586</v>
          </cell>
          <cell r="N23">
            <v>91123.443388766464</v>
          </cell>
        </row>
        <row r="24">
          <cell r="C24">
            <v>552458.64732824359</v>
          </cell>
          <cell r="D24">
            <v>558548.20255355549</v>
          </cell>
          <cell r="E24">
            <v>266107.60342572705</v>
          </cell>
          <cell r="F24">
            <v>481380.74992093554</v>
          </cell>
          <cell r="G24">
            <v>334484.50107453263</v>
          </cell>
          <cell r="H24">
            <v>477783.75218104152</v>
          </cell>
          <cell r="I24">
            <v>321562.61927623325</v>
          </cell>
          <cell r="J24">
            <v>367485.03790273936</v>
          </cell>
          <cell r="K24">
            <v>396886.12729110842</v>
          </cell>
          <cell r="L24">
            <v>231896.68484638733</v>
          </cell>
          <cell r="M24">
            <v>345557.42155268969</v>
          </cell>
          <cell r="N24">
            <v>682352.77963912231</v>
          </cell>
        </row>
        <row r="25">
          <cell r="C25">
            <v>67859.928444920282</v>
          </cell>
          <cell r="D25">
            <v>68607.92430641962</v>
          </cell>
          <cell r="E25">
            <v>32686.687075041587</v>
          </cell>
          <cell r="F25">
            <v>59129.245966871356</v>
          </cell>
          <cell r="G25">
            <v>41085.598747749456</v>
          </cell>
          <cell r="H25">
            <v>58687.417405718035</v>
          </cell>
          <cell r="I25">
            <v>39498.370493748916</v>
          </cell>
          <cell r="J25">
            <v>45139.140272777884</v>
          </cell>
          <cell r="K25">
            <v>48750.552333655636</v>
          </cell>
          <cell r="L25">
            <v>28484.471220413769</v>
          </cell>
          <cell r="M25">
            <v>42445.714287542214</v>
          </cell>
          <cell r="N25">
            <v>83815.161595237936</v>
          </cell>
        </row>
        <row r="26">
          <cell r="C26">
            <v>90884.613024911858</v>
          </cell>
          <cell r="D26">
            <v>91886.401797379876</v>
          </cell>
          <cell r="E26">
            <v>43777.18889422022</v>
          </cell>
          <cell r="F26">
            <v>79191.634316499258</v>
          </cell>
          <cell r="G26">
            <v>55025.82788776177</v>
          </cell>
          <cell r="H26">
            <v>78599.894556025363</v>
          </cell>
          <cell r="I26">
            <v>52900.057511152358</v>
          </cell>
          <cell r="J26">
            <v>60454.724754071336</v>
          </cell>
          <cell r="K26">
            <v>65291.478861361349</v>
          </cell>
          <cell r="L26">
            <v>38149.172912668037</v>
          </cell>
          <cell r="M26">
            <v>56847.426839248539</v>
          </cell>
          <cell r="N26">
            <v>112253.41231219452</v>
          </cell>
        </row>
      </sheetData>
      <sheetData sheetId="22">
        <row r="7">
          <cell r="C7">
            <v>221149.74295927721</v>
          </cell>
          <cell r="D7">
            <v>222516.2298324453</v>
          </cell>
          <cell r="E7">
            <v>252825.77036195033</v>
          </cell>
          <cell r="F7">
            <v>242573.30921120683</v>
          </cell>
          <cell r="G7">
            <v>258898.84233744943</v>
          </cell>
          <cell r="H7">
            <v>248735.24449241886</v>
          </cell>
          <cell r="I7">
            <v>257861.19628767337</v>
          </cell>
          <cell r="J7">
            <v>255959.02638851784</v>
          </cell>
          <cell r="K7">
            <v>244192.50881827332</v>
          </cell>
          <cell r="L7">
            <v>257063.79269192531</v>
          </cell>
          <cell r="M7">
            <v>247583.00890387889</v>
          </cell>
          <cell r="N7">
            <v>182239.87521498336</v>
          </cell>
        </row>
        <row r="8">
          <cell r="C8">
            <v>94612.619691239321</v>
          </cell>
          <cell r="D8">
            <v>95197.232185534333</v>
          </cell>
          <cell r="E8">
            <v>108164.30595537506</v>
          </cell>
          <cell r="F8">
            <v>103778.08241844281</v>
          </cell>
          <cell r="G8">
            <v>110762.49685302953</v>
          </cell>
          <cell r="H8">
            <v>106414.29095082486</v>
          </cell>
          <cell r="I8">
            <v>110318.56954039568</v>
          </cell>
          <cell r="J8">
            <v>109504.78031844726</v>
          </cell>
          <cell r="K8">
            <v>104470.81085926128</v>
          </cell>
          <cell r="L8">
            <v>109977.42312016751</v>
          </cell>
          <cell r="M8">
            <v>105921.33976727625</v>
          </cell>
          <cell r="N8">
            <v>77966.140840005988</v>
          </cell>
        </row>
        <row r="9">
          <cell r="C9">
            <v>76618.808584316517</v>
          </cell>
          <cell r="D9">
            <v>77092.237107303881</v>
          </cell>
          <cell r="E9">
            <v>87593.180282880421</v>
          </cell>
          <cell r="F9">
            <v>84041.146498370872</v>
          </cell>
          <cell r="G9">
            <v>89697.23671533681</v>
          </cell>
          <cell r="H9">
            <v>86175.990217845901</v>
          </cell>
          <cell r="I9">
            <v>89337.73729651676</v>
          </cell>
          <cell r="J9">
            <v>88678.717803895939</v>
          </cell>
          <cell r="K9">
            <v>84602.129039401771</v>
          </cell>
          <cell r="L9">
            <v>89061.47148381664</v>
          </cell>
          <cell r="M9">
            <v>85776.790486383237</v>
          </cell>
          <cell r="N9">
            <v>63138.224483931241</v>
          </cell>
        </row>
        <row r="10">
          <cell r="C10">
            <v>443460.37695771072</v>
          </cell>
          <cell r="D10">
            <v>446200.52386348607</v>
          </cell>
          <cell r="E10">
            <v>506978.71012212604</v>
          </cell>
          <cell r="F10">
            <v>486419.96912693436</v>
          </cell>
          <cell r="G10">
            <v>519156.73371604027</v>
          </cell>
          <cell r="H10">
            <v>498776.18580632017</v>
          </cell>
          <cell r="I10">
            <v>517075.99465559697</v>
          </cell>
          <cell r="J10">
            <v>513261.66971345828</v>
          </cell>
          <cell r="K10">
            <v>489666.86807653756</v>
          </cell>
          <cell r="L10">
            <v>515477.00161845388</v>
          </cell>
          <cell r="M10">
            <v>496465.66614846047</v>
          </cell>
          <cell r="N10">
            <v>365436.39019487472</v>
          </cell>
        </row>
        <row r="11">
          <cell r="C11">
            <v>359876.22213845636</v>
          </cell>
          <cell r="D11">
            <v>362099.90156460914</v>
          </cell>
          <cell r="E11">
            <v>411422.51344989287</v>
          </cell>
          <cell r="F11">
            <v>394738.71840143891</v>
          </cell>
          <cell r="G11">
            <v>421305.20275385468</v>
          </cell>
          <cell r="H11">
            <v>404766.0146595792</v>
          </cell>
          <cell r="I11">
            <v>419616.64487757871</v>
          </cell>
          <cell r="J11">
            <v>416521.25029102637</v>
          </cell>
          <cell r="K11">
            <v>397373.63639719016</v>
          </cell>
          <cell r="L11">
            <v>418319.03272701753</v>
          </cell>
          <cell r="M11">
            <v>402890.98561786063</v>
          </cell>
          <cell r="N11">
            <v>296558.32712149521</v>
          </cell>
        </row>
        <row r="12">
          <cell r="C12">
            <v>419662.11065500637</v>
          </cell>
          <cell r="D12">
            <v>422255.20779227809</v>
          </cell>
          <cell r="E12">
            <v>479771.73745850415</v>
          </cell>
          <cell r="F12">
            <v>460316.27968425862</v>
          </cell>
          <cell r="G12">
            <v>491296.22837264027</v>
          </cell>
          <cell r="H12">
            <v>472009.40096592868</v>
          </cell>
          <cell r="I12">
            <v>489327.15201046679</v>
          </cell>
          <cell r="J12">
            <v>485717.52251679369</v>
          </cell>
          <cell r="K12">
            <v>463388.93405672337</v>
          </cell>
          <cell r="L12">
            <v>487813.9688090866</v>
          </cell>
          <cell r="M12">
            <v>469822.87516405364</v>
          </cell>
          <cell r="N12">
            <v>345825.27501425974</v>
          </cell>
        </row>
        <row r="13">
          <cell r="C13">
            <v>116089.10391563109</v>
          </cell>
          <cell r="D13">
            <v>116806.41985955134</v>
          </cell>
          <cell r="E13">
            <v>132716.93982254609</v>
          </cell>
          <cell r="F13">
            <v>127335.07045207708</v>
          </cell>
          <cell r="G13">
            <v>135904.90411414669</v>
          </cell>
          <cell r="H13">
            <v>130569.68214825136</v>
          </cell>
          <cell r="I13">
            <v>135360.20802502538</v>
          </cell>
          <cell r="J13">
            <v>134361.69364226659</v>
          </cell>
          <cell r="K13">
            <v>128185.0439990936</v>
          </cell>
          <cell r="L13">
            <v>134941.62346032824</v>
          </cell>
          <cell r="M13">
            <v>129964.83407027763</v>
          </cell>
          <cell r="N13">
            <v>95663.976490804911</v>
          </cell>
        </row>
        <row r="14">
          <cell r="C14">
            <v>154978.95372736751</v>
          </cell>
          <cell r="D14">
            <v>155936.57051250106</v>
          </cell>
          <cell r="E14">
            <v>177177.11466309906</v>
          </cell>
          <cell r="F14">
            <v>169992.31905352289</v>
          </cell>
          <cell r="G14">
            <v>181433.04699238582</v>
          </cell>
          <cell r="H14">
            <v>174310.52566791559</v>
          </cell>
          <cell r="I14">
            <v>180705.8777134089</v>
          </cell>
          <cell r="J14">
            <v>179372.86101242588</v>
          </cell>
          <cell r="K14">
            <v>171127.03373878996</v>
          </cell>
          <cell r="L14">
            <v>180147.06731953821</v>
          </cell>
          <cell r="M14">
            <v>173503.05348382064</v>
          </cell>
          <cell r="N14">
            <v>127711.40861522456</v>
          </cell>
        </row>
        <row r="15">
          <cell r="C15">
            <v>133502.46950297573</v>
          </cell>
          <cell r="D15">
            <v>134327.38283848405</v>
          </cell>
          <cell r="E15">
            <v>152624.48079592802</v>
          </cell>
          <cell r="F15">
            <v>146435.33101988863</v>
          </cell>
          <cell r="G15">
            <v>156290.63973126869</v>
          </cell>
          <cell r="H15">
            <v>150155.13447048908</v>
          </cell>
          <cell r="I15">
            <v>155664.23922877919</v>
          </cell>
          <cell r="J15">
            <v>154515.94768860657</v>
          </cell>
          <cell r="K15">
            <v>147412.80059895763</v>
          </cell>
          <cell r="L15">
            <v>155182.86697937749</v>
          </cell>
          <cell r="M15">
            <v>149459.55918081925</v>
          </cell>
          <cell r="N15">
            <v>110013.57296442564</v>
          </cell>
        </row>
        <row r="16">
          <cell r="C16">
            <v>134082.91502255391</v>
          </cell>
          <cell r="D16">
            <v>134911.41493778178</v>
          </cell>
          <cell r="E16">
            <v>153288.06549504073</v>
          </cell>
          <cell r="F16">
            <v>147072.00637214902</v>
          </cell>
          <cell r="G16">
            <v>156970.16425183942</v>
          </cell>
          <cell r="H16">
            <v>150807.98288123033</v>
          </cell>
          <cell r="I16">
            <v>156341.04026890433</v>
          </cell>
          <cell r="J16">
            <v>155187.75615681789</v>
          </cell>
          <cell r="K16">
            <v>148053.7258189531</v>
          </cell>
          <cell r="L16">
            <v>155857.57509667912</v>
          </cell>
          <cell r="M16">
            <v>150109.38335117066</v>
          </cell>
          <cell r="N16">
            <v>110491.89284687967</v>
          </cell>
        </row>
        <row r="17">
          <cell r="C17">
            <v>293124.98738696851</v>
          </cell>
          <cell r="D17">
            <v>294936.21014536713</v>
          </cell>
          <cell r="E17">
            <v>335110.2730519289</v>
          </cell>
          <cell r="F17">
            <v>321521.05289149465</v>
          </cell>
          <cell r="G17">
            <v>343159.88288822037</v>
          </cell>
          <cell r="H17">
            <v>329688.44742433471</v>
          </cell>
          <cell r="I17">
            <v>341784.52526318911</v>
          </cell>
          <cell r="J17">
            <v>339263.27644672315</v>
          </cell>
          <cell r="K17">
            <v>323667.23609771137</v>
          </cell>
          <cell r="L17">
            <v>340727.59923732886</v>
          </cell>
          <cell r="M17">
            <v>328161.20602745103</v>
          </cell>
          <cell r="N17">
            <v>241551.54063928241</v>
          </cell>
        </row>
        <row r="18">
          <cell r="C18">
            <v>149754.94405116409</v>
          </cell>
          <cell r="D18">
            <v>150680.28161882123</v>
          </cell>
          <cell r="E18">
            <v>171204.85237108447</v>
          </cell>
          <cell r="F18">
            <v>164262.24088317942</v>
          </cell>
          <cell r="G18">
            <v>175317.32630724923</v>
          </cell>
          <cell r="H18">
            <v>168434.88997124427</v>
          </cell>
          <cell r="I18">
            <v>174614.66835228275</v>
          </cell>
          <cell r="J18">
            <v>173326.58479852389</v>
          </cell>
          <cell r="K18">
            <v>165358.70675883075</v>
          </cell>
          <cell r="L18">
            <v>174074.69426382345</v>
          </cell>
          <cell r="M18">
            <v>167654.63595065812</v>
          </cell>
          <cell r="N18">
            <v>123406.52967313833</v>
          </cell>
        </row>
        <row r="19">
          <cell r="C19">
            <v>196771.03113699469</v>
          </cell>
          <cell r="D19">
            <v>197986.88166193952</v>
          </cell>
          <cell r="E19">
            <v>224955.21299921564</v>
          </cell>
          <cell r="F19">
            <v>215832.94441627062</v>
          </cell>
          <cell r="G19">
            <v>230358.81247347861</v>
          </cell>
          <cell r="H19">
            <v>221315.61124128607</v>
          </cell>
          <cell r="I19">
            <v>229435.55260241803</v>
          </cell>
          <cell r="J19">
            <v>227743.07072364184</v>
          </cell>
          <cell r="K19">
            <v>217273.64957846366</v>
          </cell>
          <cell r="L19">
            <v>228726.05176525636</v>
          </cell>
          <cell r="M19">
            <v>220290.39374912056</v>
          </cell>
          <cell r="N19">
            <v>162150.44015191431</v>
          </cell>
        </row>
        <row r="20">
          <cell r="C20">
            <v>47596.532605408749</v>
          </cell>
          <cell r="D20">
            <v>47890.632142416056</v>
          </cell>
          <cell r="E20">
            <v>54413.945327243906</v>
          </cell>
          <cell r="F20">
            <v>52207.378885351602</v>
          </cell>
          <cell r="G20">
            <v>55721.010686800146</v>
          </cell>
          <cell r="H20">
            <v>53533.569680783061</v>
          </cell>
          <cell r="I20">
            <v>55497.685290260415</v>
          </cell>
          <cell r="J20">
            <v>55088.294393329299</v>
          </cell>
          <cell r="K20">
            <v>52555.868039628382</v>
          </cell>
          <cell r="L20">
            <v>55326.065618734581</v>
          </cell>
          <cell r="M20">
            <v>53285.581968813829</v>
          </cell>
          <cell r="N20">
            <v>39222.230361230017</v>
          </cell>
        </row>
        <row r="21">
          <cell r="C21">
            <v>131761.13294424128</v>
          </cell>
          <cell r="D21">
            <v>132575.28654059078</v>
          </cell>
          <cell r="E21">
            <v>150633.72669858983</v>
          </cell>
          <cell r="F21">
            <v>144525.30496310748</v>
          </cell>
          <cell r="G21">
            <v>154252.06616955649</v>
          </cell>
          <cell r="H21">
            <v>148196.5892382653</v>
          </cell>
          <cell r="I21">
            <v>153633.83610840383</v>
          </cell>
          <cell r="J21">
            <v>152500.52228397259</v>
          </cell>
          <cell r="K21">
            <v>145490.02493897124</v>
          </cell>
          <cell r="L21">
            <v>153158.74262747256</v>
          </cell>
          <cell r="M21">
            <v>147510.08666976512</v>
          </cell>
          <cell r="N21">
            <v>108578.61331706357</v>
          </cell>
        </row>
        <row r="22">
          <cell r="C22">
            <v>498602.70131763554</v>
          </cell>
          <cell r="D22">
            <v>501683.57329677301</v>
          </cell>
          <cell r="E22">
            <v>570019.25653783546</v>
          </cell>
          <cell r="F22">
            <v>546904.12759167107</v>
          </cell>
          <cell r="G22">
            <v>583711.56317026005</v>
          </cell>
          <cell r="H22">
            <v>560796.78482673969</v>
          </cell>
          <cell r="I22">
            <v>581372.09346748411</v>
          </cell>
          <cell r="J22">
            <v>577083.47419353493</v>
          </cell>
          <cell r="K22">
            <v>550554.763976107</v>
          </cell>
          <cell r="L22">
            <v>579574.27276210987</v>
          </cell>
          <cell r="M22">
            <v>558198.9623318424</v>
          </cell>
          <cell r="N22">
            <v>410876.77902800712</v>
          </cell>
        </row>
        <row r="23">
          <cell r="C23">
            <v>264102.71140806068</v>
          </cell>
          <cell r="D23">
            <v>265734.6051804793</v>
          </cell>
          <cell r="E23">
            <v>301931.03809629235</v>
          </cell>
          <cell r="F23">
            <v>289687.28527847532</v>
          </cell>
          <cell r="G23">
            <v>309183.65685968369</v>
          </cell>
          <cell r="H23">
            <v>297046.02688727184</v>
          </cell>
          <cell r="I23">
            <v>307944.47325693275</v>
          </cell>
          <cell r="J23">
            <v>305672.85303615645</v>
          </cell>
          <cell r="K23">
            <v>291620.97509793792</v>
          </cell>
          <cell r="L23">
            <v>306992.19337224675</v>
          </cell>
          <cell r="M23">
            <v>295669.99750988156</v>
          </cell>
          <cell r="N23">
            <v>217635.54651658115</v>
          </cell>
        </row>
        <row r="24">
          <cell r="C24">
            <v>1684452.897815807</v>
          </cell>
          <cell r="D24">
            <v>1694861.1521620899</v>
          </cell>
          <cell r="E24">
            <v>1925722.796825144</v>
          </cell>
          <cell r="F24">
            <v>1847631.8722596385</v>
          </cell>
          <cell r="G24">
            <v>1971980.1586962685</v>
          </cell>
          <cell r="H24">
            <v>1894566.0879711274</v>
          </cell>
          <cell r="I24">
            <v>1964076.6184431184</v>
          </cell>
          <cell r="J24">
            <v>1949588.1747492882</v>
          </cell>
          <cell r="K24">
            <v>1859964.9884268483</v>
          </cell>
          <cell r="L24">
            <v>1958002.9564093628</v>
          </cell>
          <cell r="M24">
            <v>1885789.7423597283</v>
          </cell>
          <cell r="N24">
            <v>1388084.2988815792</v>
          </cell>
        </row>
        <row r="25">
          <cell r="C25">
            <v>158461.62684483643</v>
          </cell>
          <cell r="D25">
            <v>159440.76310828759</v>
          </cell>
          <cell r="E25">
            <v>181158.62285777542</v>
          </cell>
          <cell r="F25">
            <v>173812.37116708522</v>
          </cell>
          <cell r="G25">
            <v>185510.19411581021</v>
          </cell>
          <cell r="H25">
            <v>178227.61613236312</v>
          </cell>
          <cell r="I25">
            <v>184766.68395415967</v>
          </cell>
          <cell r="J25">
            <v>183403.7118216939</v>
          </cell>
          <cell r="K25">
            <v>174972.58505876278</v>
          </cell>
          <cell r="L25">
            <v>184195.31602334807</v>
          </cell>
          <cell r="M25">
            <v>177401.99850592896</v>
          </cell>
          <cell r="N25">
            <v>130581.3279099487</v>
          </cell>
        </row>
        <row r="26">
          <cell r="C26">
            <v>225793.30711590243</v>
          </cell>
          <cell r="D26">
            <v>227188.48662682733</v>
          </cell>
          <cell r="E26">
            <v>258134.44795485213</v>
          </cell>
          <cell r="F26">
            <v>247666.71202928989</v>
          </cell>
          <cell r="G26">
            <v>264335.03850201529</v>
          </cell>
          <cell r="H26">
            <v>253958.0317783489</v>
          </cell>
          <cell r="I26">
            <v>263275.60460867436</v>
          </cell>
          <cell r="J26">
            <v>261333.49413420848</v>
          </cell>
          <cell r="K26">
            <v>249319.91057823703</v>
          </cell>
          <cell r="L26">
            <v>262461.45763033844</v>
          </cell>
          <cell r="M26">
            <v>252781.60226668997</v>
          </cell>
          <cell r="N26">
            <v>186066.43427461552</v>
          </cell>
        </row>
      </sheetData>
      <sheetData sheetId="23">
        <row r="7">
          <cell r="C7">
            <v>11802.679292037985</v>
          </cell>
          <cell r="D7">
            <v>1333.2292221198138</v>
          </cell>
          <cell r="E7">
            <v>1333.2292221198138</v>
          </cell>
          <cell r="F7">
            <v>18204.517099508423</v>
          </cell>
          <cell r="G7">
            <v>1333.2292221198138</v>
          </cell>
          <cell r="H7">
            <v>1333.2292221198138</v>
          </cell>
          <cell r="I7">
            <v>15264.771092395671</v>
          </cell>
          <cell r="J7">
            <v>1333.2292221198127</v>
          </cell>
          <cell r="K7">
            <v>1333.2292221198127</v>
          </cell>
          <cell r="L7">
            <v>13985.991384813668</v>
          </cell>
          <cell r="M7">
            <v>1333.2292221198115</v>
          </cell>
          <cell r="N7">
            <v>1333.2292221198115</v>
          </cell>
        </row>
        <row r="8">
          <cell r="C8">
            <v>2925.5296800196288</v>
          </cell>
          <cell r="D8">
            <v>330.46747802528074</v>
          </cell>
          <cell r="E8">
            <v>330.46747802528074</v>
          </cell>
          <cell r="F8">
            <v>4512.3529808154808</v>
          </cell>
          <cell r="G8">
            <v>330.46747802528074</v>
          </cell>
          <cell r="H8">
            <v>330.46747802528074</v>
          </cell>
          <cell r="I8">
            <v>3783.6782466532745</v>
          </cell>
          <cell r="J8">
            <v>330.46747802528034</v>
          </cell>
          <cell r="K8">
            <v>330.46747802528034</v>
          </cell>
          <cell r="L8">
            <v>3466.7071677846229</v>
          </cell>
          <cell r="M8">
            <v>330.46747802528006</v>
          </cell>
          <cell r="N8">
            <v>330.46747802528006</v>
          </cell>
        </row>
        <row r="9">
          <cell r="C9">
            <v>1106.3412555767009</v>
          </cell>
          <cell r="D9">
            <v>124.97217412038073</v>
          </cell>
          <cell r="E9">
            <v>124.97217412038073</v>
          </cell>
          <cell r="F9">
            <v>1706.4268041769351</v>
          </cell>
          <cell r="G9">
            <v>124.97217412038073</v>
          </cell>
          <cell r="H9">
            <v>124.97217412038073</v>
          </cell>
          <cell r="I9">
            <v>1430.8654500037569</v>
          </cell>
          <cell r="J9">
            <v>124.97217412038063</v>
          </cell>
          <cell r="K9">
            <v>124.97217412038063</v>
          </cell>
          <cell r="L9">
            <v>1310.9971800723122</v>
          </cell>
          <cell r="M9">
            <v>124.9721741203805</v>
          </cell>
          <cell r="N9">
            <v>124.9721741203805</v>
          </cell>
        </row>
        <row r="10">
          <cell r="C10">
            <v>1244975.8797058584</v>
          </cell>
          <cell r="D10">
            <v>140632.32445686206</v>
          </cell>
          <cell r="E10">
            <v>140632.32445686206</v>
          </cell>
          <cell r="F10">
            <v>1920257.6067512033</v>
          </cell>
          <cell r="G10">
            <v>140632.32445686206</v>
          </cell>
          <cell r="H10">
            <v>140632.32445686206</v>
          </cell>
          <cell r="I10">
            <v>1610165.9080141254</v>
          </cell>
          <cell r="J10">
            <v>140632.32445686191</v>
          </cell>
          <cell r="K10">
            <v>140632.32445686191</v>
          </cell>
          <cell r="L10">
            <v>1475277.0533732229</v>
          </cell>
          <cell r="M10">
            <v>140632.3244568618</v>
          </cell>
          <cell r="N10">
            <v>140632.3244568618</v>
          </cell>
        </row>
        <row r="11">
          <cell r="C11">
            <v>55699.534132124987</v>
          </cell>
          <cell r="D11">
            <v>6291.8126237238803</v>
          </cell>
          <cell r="E11">
            <v>6291.8126237238803</v>
          </cell>
          <cell r="F11">
            <v>85911.266116241008</v>
          </cell>
          <cell r="G11">
            <v>6291.8126237238803</v>
          </cell>
          <cell r="H11">
            <v>6291.8126237238803</v>
          </cell>
          <cell r="I11">
            <v>72037.934560632741</v>
          </cell>
          <cell r="J11">
            <v>6291.8126237238748</v>
          </cell>
          <cell r="K11">
            <v>6291.8126237238748</v>
          </cell>
          <cell r="L11">
            <v>66003.081608389752</v>
          </cell>
          <cell r="M11">
            <v>6291.8126237238675</v>
          </cell>
          <cell r="N11">
            <v>6291.8126237238675</v>
          </cell>
        </row>
        <row r="12">
          <cell r="C12">
            <v>138.9651749087565</v>
          </cell>
          <cell r="D12">
            <v>15.697489312475769</v>
          </cell>
          <cell r="E12">
            <v>15.697489312475769</v>
          </cell>
          <cell r="F12">
            <v>214.34064590480065</v>
          </cell>
          <cell r="G12">
            <v>15.697489312475769</v>
          </cell>
          <cell r="H12">
            <v>15.697489312475769</v>
          </cell>
          <cell r="I12">
            <v>179.7279695829651</v>
          </cell>
          <cell r="J12">
            <v>15.697489312475755</v>
          </cell>
          <cell r="K12">
            <v>15.697489312475755</v>
          </cell>
          <cell r="L12">
            <v>164.67157083342175</v>
          </cell>
          <cell r="M12">
            <v>15.697489312475739</v>
          </cell>
          <cell r="N12">
            <v>15.697489312475739</v>
          </cell>
        </row>
        <row r="13">
          <cell r="C13">
            <v>32.849495233388772</v>
          </cell>
          <cell r="D13">
            <v>3.7106749995811463</v>
          </cell>
          <cell r="E13">
            <v>3.7106749995811463</v>
          </cell>
          <cell r="F13">
            <v>50.667241131414954</v>
          </cell>
          <cell r="G13">
            <v>3.7106749995811463</v>
          </cell>
          <cell r="H13">
            <v>3.7106749995811463</v>
          </cell>
          <cell r="I13">
            <v>42.485270744981669</v>
          </cell>
          <cell r="J13">
            <v>3.7106749995811428</v>
          </cell>
          <cell r="K13">
            <v>3.7106749995811428</v>
          </cell>
          <cell r="L13">
            <v>38.926140917815466</v>
          </cell>
          <cell r="M13">
            <v>3.7106749995811397</v>
          </cell>
          <cell r="N13">
            <v>3.7106749995811397</v>
          </cell>
        </row>
        <row r="14">
          <cell r="C14">
            <v>9699.6117410109109</v>
          </cell>
          <cell r="D14">
            <v>1095.6669664875083</v>
          </cell>
          <cell r="E14">
            <v>1095.6669664875083</v>
          </cell>
          <cell r="F14">
            <v>14960.734205236215</v>
          </cell>
          <cell r="G14">
            <v>1095.6669664875083</v>
          </cell>
          <cell r="H14">
            <v>1095.6669664875083</v>
          </cell>
          <cell r="I14">
            <v>12544.808619135061</v>
          </cell>
          <cell r="J14">
            <v>1095.6669664875074</v>
          </cell>
          <cell r="K14">
            <v>1095.6669664875074</v>
          </cell>
          <cell r="L14">
            <v>11493.889047492006</v>
          </cell>
          <cell r="M14">
            <v>1095.6669664875062</v>
          </cell>
          <cell r="N14">
            <v>1095.6669664875062</v>
          </cell>
        </row>
        <row r="15">
          <cell r="C15">
            <v>1794.2560512298369</v>
          </cell>
          <cell r="D15">
            <v>202.67894604902614</v>
          </cell>
          <cell r="E15">
            <v>202.67894604902614</v>
          </cell>
          <cell r="F15">
            <v>2767.4703478170991</v>
          </cell>
          <cell r="G15">
            <v>202.67894604902614</v>
          </cell>
          <cell r="H15">
            <v>202.67894604902614</v>
          </cell>
          <cell r="I15">
            <v>2320.5669852984665</v>
          </cell>
          <cell r="J15">
            <v>202.67894604902594</v>
          </cell>
          <cell r="K15">
            <v>202.67894604902594</v>
          </cell>
          <cell r="L15">
            <v>2126.1655132473907</v>
          </cell>
          <cell r="M15">
            <v>202.67894604902577</v>
          </cell>
          <cell r="N15">
            <v>202.67894604902577</v>
          </cell>
        </row>
        <row r="16">
          <cell r="C16">
            <v>956.44082925869373</v>
          </cell>
          <cell r="D16">
            <v>108.03944013427608</v>
          </cell>
          <cell r="E16">
            <v>108.03944013427608</v>
          </cell>
          <cell r="F16">
            <v>1475.2195666837808</v>
          </cell>
          <cell r="G16">
            <v>108.03944013427608</v>
          </cell>
          <cell r="H16">
            <v>108.03944013427608</v>
          </cell>
          <cell r="I16">
            <v>1236.9945807054185</v>
          </cell>
          <cell r="J16">
            <v>108.03944013427599</v>
          </cell>
          <cell r="K16">
            <v>108.03944013427599</v>
          </cell>
          <cell r="L16">
            <v>1133.3675064033994</v>
          </cell>
          <cell r="M16">
            <v>108.03944013427588</v>
          </cell>
          <cell r="N16">
            <v>108.03944013427588</v>
          </cell>
        </row>
        <row r="17">
          <cell r="C17">
            <v>2237.4399203439448</v>
          </cell>
          <cell r="D17">
            <v>252.74094218185729</v>
          </cell>
          <cell r="E17">
            <v>252.74094218185729</v>
          </cell>
          <cell r="F17">
            <v>3451.0395717099036</v>
          </cell>
          <cell r="G17">
            <v>252.74094218185729</v>
          </cell>
          <cell r="H17">
            <v>252.74094218185729</v>
          </cell>
          <cell r="I17">
            <v>2893.7504249631193</v>
          </cell>
          <cell r="J17">
            <v>252.74094218185704</v>
          </cell>
          <cell r="K17">
            <v>252.74094218185704</v>
          </cell>
          <cell r="L17">
            <v>2651.3315049641765</v>
          </cell>
          <cell r="M17">
            <v>252.74094218185678</v>
          </cell>
          <cell r="N17">
            <v>252.74094218185678</v>
          </cell>
        </row>
        <row r="18">
          <cell r="C18">
            <v>1882.0442495433008</v>
          </cell>
          <cell r="D18">
            <v>212.59549028891877</v>
          </cell>
          <cell r="E18">
            <v>212.59549028891877</v>
          </cell>
          <cell r="F18">
            <v>2902.8753450884037</v>
          </cell>
          <cell r="G18">
            <v>212.59549028891877</v>
          </cell>
          <cell r="H18">
            <v>212.59549028891877</v>
          </cell>
          <cell r="I18">
            <v>2434.1061842134841</v>
          </cell>
          <cell r="J18">
            <v>212.59549028891854</v>
          </cell>
          <cell r="K18">
            <v>212.59549028891854</v>
          </cell>
          <cell r="L18">
            <v>2230.1931628107141</v>
          </cell>
          <cell r="M18">
            <v>212.59549028891837</v>
          </cell>
          <cell r="N18">
            <v>212.59549028891837</v>
          </cell>
        </row>
        <row r="19">
          <cell r="C19">
            <v>8275.3171154588399</v>
          </cell>
          <cell r="D19">
            <v>934.77881823669441</v>
          </cell>
          <cell r="E19">
            <v>934.77881823669441</v>
          </cell>
          <cell r="F19">
            <v>12763.894384036301</v>
          </cell>
          <cell r="G19">
            <v>934.77881823669441</v>
          </cell>
          <cell r="H19">
            <v>934.77881823669441</v>
          </cell>
          <cell r="I19">
            <v>10702.724217007106</v>
          </cell>
          <cell r="J19">
            <v>934.7788182366935</v>
          </cell>
          <cell r="K19">
            <v>934.7788182366935</v>
          </cell>
          <cell r="L19">
            <v>9806.1220693749547</v>
          </cell>
          <cell r="M19">
            <v>934.77881823669259</v>
          </cell>
          <cell r="N19">
            <v>934.77881823669259</v>
          </cell>
        </row>
        <row r="20">
          <cell r="C20">
            <v>385.57696469017583</v>
          </cell>
          <cell r="D20">
            <v>43.554727192154196</v>
          </cell>
          <cell r="E20">
            <v>43.554727192154196</v>
          </cell>
          <cell r="F20">
            <v>594.71601940535652</v>
          </cell>
          <cell r="G20">
            <v>43.554727192154196</v>
          </cell>
          <cell r="H20">
            <v>43.554727192154196</v>
          </cell>
          <cell r="I20">
            <v>498.67864396406583</v>
          </cell>
          <cell r="J20">
            <v>43.554727192154161</v>
          </cell>
          <cell r="K20">
            <v>43.554727192154161</v>
          </cell>
          <cell r="L20">
            <v>456.90270597941856</v>
          </cell>
          <cell r="M20">
            <v>43.554727192154111</v>
          </cell>
          <cell r="N20">
            <v>43.554727192154111</v>
          </cell>
        </row>
        <row r="21">
          <cell r="C21">
            <v>3033.5262229373875</v>
          </cell>
          <cell r="D21">
            <v>342.66675442203945</v>
          </cell>
          <cell r="E21">
            <v>342.66675442203945</v>
          </cell>
          <cell r="F21">
            <v>4678.9274393420628</v>
          </cell>
          <cell r="G21">
            <v>342.66675442203945</v>
          </cell>
          <cell r="H21">
            <v>342.66675442203945</v>
          </cell>
          <cell r="I21">
            <v>3923.3535242423018</v>
          </cell>
          <cell r="J21">
            <v>342.66675442203916</v>
          </cell>
          <cell r="K21">
            <v>342.66675442203916</v>
          </cell>
          <cell r="L21">
            <v>3594.6813913879332</v>
          </cell>
          <cell r="M21">
            <v>342.66675442203882</v>
          </cell>
          <cell r="N21">
            <v>342.66675442203882</v>
          </cell>
        </row>
        <row r="22">
          <cell r="C22">
            <v>44777.055096520409</v>
          </cell>
          <cell r="D22">
            <v>5058.0107158738028</v>
          </cell>
          <cell r="E22">
            <v>5058.0107158738028</v>
          </cell>
          <cell r="F22">
            <v>69064.374706862378</v>
          </cell>
          <cell r="G22">
            <v>5058.0107158738028</v>
          </cell>
          <cell r="H22">
            <v>5058.0107158738028</v>
          </cell>
          <cell r="I22">
            <v>57911.553752126914</v>
          </cell>
          <cell r="J22">
            <v>5058.0107158737983</v>
          </cell>
          <cell r="K22">
            <v>5058.0107158737983</v>
          </cell>
          <cell r="L22">
            <v>53060.113837010453</v>
          </cell>
          <cell r="M22">
            <v>5058.0107158737928</v>
          </cell>
          <cell r="N22">
            <v>5058.0107158737928</v>
          </cell>
        </row>
        <row r="23">
          <cell r="C23">
            <v>4866.0556540996013</v>
          </cell>
          <cell r="D23">
            <v>549.66905682876666</v>
          </cell>
          <cell r="E23">
            <v>549.66905682876666</v>
          </cell>
          <cell r="F23">
            <v>7505.4308577184011</v>
          </cell>
          <cell r="G23">
            <v>549.66905682876666</v>
          </cell>
          <cell r="H23">
            <v>549.66905682876666</v>
          </cell>
          <cell r="I23">
            <v>6293.4206585445754</v>
          </cell>
          <cell r="J23">
            <v>549.6690568287662</v>
          </cell>
          <cell r="K23">
            <v>549.6690568287662</v>
          </cell>
          <cell r="L23">
            <v>5766.200264559543</v>
          </cell>
          <cell r="M23">
            <v>549.66905682876563</v>
          </cell>
          <cell r="N23">
            <v>549.66905682876563</v>
          </cell>
        </row>
        <row r="24">
          <cell r="C24">
            <v>2915992.3911505365</v>
          </cell>
          <cell r="D24">
            <v>329390.14703072852</v>
          </cell>
          <cell r="E24">
            <v>329390.14703072852</v>
          </cell>
          <cell r="F24">
            <v>4497642.6142957816</v>
          </cell>
          <cell r="G24">
            <v>329390.14703072852</v>
          </cell>
          <cell r="H24">
            <v>329390.14703072852</v>
          </cell>
          <cell r="I24">
            <v>3771343.3752375138</v>
          </cell>
          <cell r="J24">
            <v>329390.14703072817</v>
          </cell>
          <cell r="K24">
            <v>329390.14703072817</v>
          </cell>
          <cell r="L24">
            <v>3455405.6288156207</v>
          </cell>
          <cell r="M24">
            <v>329390.14703072788</v>
          </cell>
          <cell r="N24">
            <v>329390.14703072788</v>
          </cell>
        </row>
        <row r="25">
          <cell r="C25">
            <v>2249.6874019223055</v>
          </cell>
          <cell r="D25">
            <v>254.12441621632158</v>
          </cell>
          <cell r="E25">
            <v>254.12441621632158</v>
          </cell>
          <cell r="F25">
            <v>3469.9301542888597</v>
          </cell>
          <cell r="G25">
            <v>254.12441621632158</v>
          </cell>
          <cell r="H25">
            <v>254.12441621632158</v>
          </cell>
          <cell r="I25">
            <v>2909.5904726443368</v>
          </cell>
          <cell r="J25">
            <v>254.12441621632132</v>
          </cell>
          <cell r="K25">
            <v>254.12441621632132</v>
          </cell>
          <cell r="L25">
            <v>2665.8445801399271</v>
          </cell>
          <cell r="M25">
            <v>254.12441621632112</v>
          </cell>
          <cell r="N25">
            <v>254.12441621632112</v>
          </cell>
        </row>
        <row r="26">
          <cell r="C26">
            <v>61269.338825918327</v>
          </cell>
          <cell r="D26">
            <v>6920.9770867687066</v>
          </cell>
          <cell r="E26">
            <v>6920.9770867687066</v>
          </cell>
          <cell r="F26">
            <v>94502.16334221953</v>
          </cell>
          <cell r="G26">
            <v>6920.9770867687066</v>
          </cell>
          <cell r="H26">
            <v>6920.9770867687066</v>
          </cell>
          <cell r="I26">
            <v>79241.535673259888</v>
          </cell>
          <cell r="J26">
            <v>6920.9770867687012</v>
          </cell>
          <cell r="K26">
            <v>6920.9770867687012</v>
          </cell>
          <cell r="L26">
            <v>72603.21353903017</v>
          </cell>
          <cell r="M26">
            <v>6920.9770867686939</v>
          </cell>
          <cell r="N26">
            <v>6920.9770867686939</v>
          </cell>
        </row>
      </sheetData>
      <sheetData sheetId="24">
        <row r="7">
          <cell r="C7">
            <v>154257.12253206508</v>
          </cell>
          <cell r="D7">
            <v>120162.95703191035</v>
          </cell>
          <cell r="E7">
            <v>120162.95703191035</v>
          </cell>
          <cell r="F7">
            <v>181543.94365766429</v>
          </cell>
          <cell r="G7">
            <v>120162.95703191035</v>
          </cell>
          <cell r="H7">
            <v>120162.95703191035</v>
          </cell>
          <cell r="I7">
            <v>152643.60360410286</v>
          </cell>
          <cell r="J7">
            <v>120162.95703191037</v>
          </cell>
          <cell r="K7">
            <v>120162.95703191037</v>
          </cell>
          <cell r="L7">
            <v>159154.33645088488</v>
          </cell>
          <cell r="M7">
            <v>120162.9570319104</v>
          </cell>
          <cell r="N7">
            <v>120162.9570319104</v>
          </cell>
        </row>
        <row r="8">
          <cell r="C8">
            <v>62970.715773363561</v>
          </cell>
          <cell r="D8">
            <v>49052.82355549217</v>
          </cell>
          <cell r="E8">
            <v>49052.82355549217</v>
          </cell>
          <cell r="F8">
            <v>74109.719465731454</v>
          </cell>
          <cell r="G8">
            <v>49052.82355549217</v>
          </cell>
          <cell r="H8">
            <v>49052.82355549217</v>
          </cell>
          <cell r="I8">
            <v>62312.046402770757</v>
          </cell>
          <cell r="J8">
            <v>49052.823555492178</v>
          </cell>
          <cell r="K8">
            <v>49052.823555492178</v>
          </cell>
          <cell r="L8">
            <v>64969.852414196837</v>
          </cell>
          <cell r="M8">
            <v>49052.823555492192</v>
          </cell>
          <cell r="N8">
            <v>49052.823555492192</v>
          </cell>
        </row>
        <row r="9">
          <cell r="C9">
            <v>46065.825632863278</v>
          </cell>
          <cell r="D9">
            <v>35884.280319118436</v>
          </cell>
          <cell r="E9">
            <v>35884.280319118436</v>
          </cell>
          <cell r="F9">
            <v>54214.492763521666</v>
          </cell>
          <cell r="G9">
            <v>35884.280319118436</v>
          </cell>
          <cell r="H9">
            <v>35884.280319118436</v>
          </cell>
          <cell r="I9">
            <v>45583.980254375922</v>
          </cell>
          <cell r="J9">
            <v>35884.280319118443</v>
          </cell>
          <cell r="K9">
            <v>35884.280319118443</v>
          </cell>
          <cell r="L9">
            <v>47528.281296291651</v>
          </cell>
          <cell r="M9">
            <v>35884.28031911845</v>
          </cell>
          <cell r="N9">
            <v>35884.28031911845</v>
          </cell>
        </row>
        <row r="10">
          <cell r="C10">
            <v>372752.82759803126</v>
          </cell>
          <cell r="D10">
            <v>290366.37836204091</v>
          </cell>
          <cell r="E10">
            <v>290366.37836204091</v>
          </cell>
          <cell r="F10">
            <v>438689.74878372578</v>
          </cell>
          <cell r="G10">
            <v>290366.37836204091</v>
          </cell>
          <cell r="H10">
            <v>290366.37836204091</v>
          </cell>
          <cell r="I10">
            <v>368853.85857210611</v>
          </cell>
          <cell r="J10">
            <v>290366.37836204097</v>
          </cell>
          <cell r="K10">
            <v>290366.37836204097</v>
          </cell>
          <cell r="L10">
            <v>384586.6431498095</v>
          </cell>
          <cell r="M10">
            <v>290366.37836204102</v>
          </cell>
          <cell r="N10">
            <v>290366.37836204102</v>
          </cell>
        </row>
        <row r="11">
          <cell r="C11">
            <v>280198.55407879222</v>
          </cell>
          <cell r="D11">
            <v>218268.60414289468</v>
          </cell>
          <cell r="E11">
            <v>218268.60414289468</v>
          </cell>
          <cell r="F11">
            <v>329763.38258912717</v>
          </cell>
          <cell r="G11">
            <v>218268.60414289468</v>
          </cell>
          <cell r="H11">
            <v>218268.60414289468</v>
          </cell>
          <cell r="I11">
            <v>277267.69640964438</v>
          </cell>
          <cell r="J11">
            <v>218268.60414289474</v>
          </cell>
          <cell r="K11">
            <v>218268.60414289474</v>
          </cell>
          <cell r="L11">
            <v>289094.04127927852</v>
          </cell>
          <cell r="M11">
            <v>218268.60414289479</v>
          </cell>
          <cell r="N11">
            <v>218268.60414289479</v>
          </cell>
        </row>
        <row r="12">
          <cell r="C12">
            <v>136084.36563102729</v>
          </cell>
          <cell r="D12">
            <v>106006.77305280858</v>
          </cell>
          <cell r="E12">
            <v>106006.77305280858</v>
          </cell>
          <cell r="F12">
            <v>160156.57495278877</v>
          </cell>
          <cell r="G12">
            <v>106006.77305280858</v>
          </cell>
          <cell r="H12">
            <v>106006.77305280858</v>
          </cell>
          <cell r="I12">
            <v>134660.93249457842</v>
          </cell>
          <cell r="J12">
            <v>106006.7730528086</v>
          </cell>
          <cell r="K12">
            <v>106006.7730528086</v>
          </cell>
          <cell r="L12">
            <v>140404.6474991368</v>
          </cell>
          <cell r="M12">
            <v>106006.77305280862</v>
          </cell>
          <cell r="N12">
            <v>106006.77305280862</v>
          </cell>
        </row>
        <row r="13">
          <cell r="C13">
            <v>46911.070139888296</v>
          </cell>
          <cell r="D13">
            <v>36542.707480937126</v>
          </cell>
          <cell r="E13">
            <v>36542.707480937126</v>
          </cell>
          <cell r="F13">
            <v>55209.254098632155</v>
          </cell>
          <cell r="G13">
            <v>36542.707480937126</v>
          </cell>
          <cell r="H13">
            <v>36542.707480937126</v>
          </cell>
          <cell r="I13">
            <v>46420.383561795665</v>
          </cell>
          <cell r="J13">
            <v>36542.707480937126</v>
          </cell>
          <cell r="K13">
            <v>36542.707480937126</v>
          </cell>
          <cell r="L13">
            <v>48400.359852186913</v>
          </cell>
          <cell r="M13">
            <v>36542.707480937141</v>
          </cell>
          <cell r="N13">
            <v>36542.707480937141</v>
          </cell>
        </row>
        <row r="14">
          <cell r="C14">
            <v>114530.63070188943</v>
          </cell>
          <cell r="D14">
            <v>89216.880426432064</v>
          </cell>
          <cell r="E14">
            <v>89216.880426432064</v>
          </cell>
          <cell r="F14">
            <v>134790.16090747129</v>
          </cell>
          <cell r="G14">
            <v>89216.880426432064</v>
          </cell>
          <cell r="H14">
            <v>89216.880426432064</v>
          </cell>
          <cell r="I14">
            <v>113332.64815537501</v>
          </cell>
          <cell r="J14">
            <v>89216.880426432079</v>
          </cell>
          <cell r="K14">
            <v>89216.880426432079</v>
          </cell>
          <cell r="L14">
            <v>118166.64432380768</v>
          </cell>
          <cell r="M14">
            <v>89216.880426432108</v>
          </cell>
          <cell r="N14">
            <v>89216.880426432108</v>
          </cell>
        </row>
        <row r="15">
          <cell r="C15">
            <v>71423.160843613703</v>
          </cell>
          <cell r="D15">
            <v>55637.095173679038</v>
          </cell>
          <cell r="E15">
            <v>55637.095173679038</v>
          </cell>
          <cell r="F15">
            <v>84057.332816836337</v>
          </cell>
          <cell r="G15">
            <v>55637.095173679038</v>
          </cell>
          <cell r="H15">
            <v>55637.095173679038</v>
          </cell>
          <cell r="I15">
            <v>70676.079476968167</v>
          </cell>
          <cell r="J15">
            <v>55637.095173679045</v>
          </cell>
          <cell r="K15">
            <v>55637.095173679045</v>
          </cell>
          <cell r="L15">
            <v>73690.637973149423</v>
          </cell>
          <cell r="M15">
            <v>55637.095173679059</v>
          </cell>
          <cell r="N15">
            <v>55637.095173679059</v>
          </cell>
        </row>
        <row r="16">
          <cell r="C16">
            <v>53673.026196088402</v>
          </cell>
          <cell r="D16">
            <v>41810.124775486613</v>
          </cell>
          <cell r="E16">
            <v>41810.124775486613</v>
          </cell>
          <cell r="F16">
            <v>63167.344779516068</v>
          </cell>
          <cell r="G16">
            <v>41810.124775486613</v>
          </cell>
          <cell r="H16">
            <v>41810.124775486613</v>
          </cell>
          <cell r="I16">
            <v>53111.610021153596</v>
          </cell>
          <cell r="J16">
            <v>41810.12477548662</v>
          </cell>
          <cell r="K16">
            <v>41810.12477548662</v>
          </cell>
          <cell r="L16">
            <v>55376.988299348981</v>
          </cell>
          <cell r="M16">
            <v>41810.124775486634</v>
          </cell>
          <cell r="N16">
            <v>41810.124775486634</v>
          </cell>
        </row>
        <row r="17">
          <cell r="C17">
            <v>143268.9439407399</v>
          </cell>
          <cell r="D17">
            <v>111603.40392826742</v>
          </cell>
          <cell r="E17">
            <v>111603.40392826742</v>
          </cell>
          <cell r="F17">
            <v>168612.04630122794</v>
          </cell>
          <cell r="G17">
            <v>111603.40392826742</v>
          </cell>
          <cell r="H17">
            <v>111603.40392826742</v>
          </cell>
          <cell r="I17">
            <v>141770.36060764623</v>
          </cell>
          <cell r="J17">
            <v>111603.40392826743</v>
          </cell>
          <cell r="K17">
            <v>111603.40392826743</v>
          </cell>
          <cell r="L17">
            <v>147817.3152242465</v>
          </cell>
          <cell r="M17">
            <v>111603.40392826746</v>
          </cell>
          <cell r="N17">
            <v>111603.40392826746</v>
          </cell>
        </row>
        <row r="18">
          <cell r="C18">
            <v>93399.518026264079</v>
          </cell>
          <cell r="D18">
            <v>72756.201380964907</v>
          </cell>
          <cell r="E18">
            <v>72756.201380964907</v>
          </cell>
          <cell r="F18">
            <v>109921.12752970908</v>
          </cell>
          <cell r="G18">
            <v>72756.201380964907</v>
          </cell>
          <cell r="H18">
            <v>72756.201380964907</v>
          </cell>
          <cell r="I18">
            <v>92422.565469881461</v>
          </cell>
          <cell r="J18">
            <v>72756.201380964922</v>
          </cell>
          <cell r="K18">
            <v>72756.201380964922</v>
          </cell>
          <cell r="L18">
            <v>96364.680426426188</v>
          </cell>
          <cell r="M18">
            <v>72756.201380964936</v>
          </cell>
          <cell r="N18">
            <v>72756.201380964936</v>
          </cell>
        </row>
        <row r="19">
          <cell r="C19">
            <v>166935.79013744032</v>
          </cell>
          <cell r="D19">
            <v>130039.36445919066</v>
          </cell>
          <cell r="E19">
            <v>130039.36445919066</v>
          </cell>
          <cell r="F19">
            <v>196465.36368432164</v>
          </cell>
          <cell r="G19">
            <v>130039.36445919066</v>
          </cell>
          <cell r="H19">
            <v>130039.36445919066</v>
          </cell>
          <cell r="I19">
            <v>165189.65321539898</v>
          </cell>
          <cell r="J19">
            <v>130039.36445919068</v>
          </cell>
          <cell r="K19">
            <v>130039.36445919068</v>
          </cell>
          <cell r="L19">
            <v>172235.51478931378</v>
          </cell>
          <cell r="M19">
            <v>130039.36445919071</v>
          </cell>
          <cell r="N19">
            <v>130039.36445919071</v>
          </cell>
        </row>
        <row r="20">
          <cell r="C20">
            <v>31696.669013438033</v>
          </cell>
          <cell r="D20">
            <v>24691.018568200758</v>
          </cell>
          <cell r="E20">
            <v>24691.018568200758</v>
          </cell>
          <cell r="F20">
            <v>37303.550066643344</v>
          </cell>
          <cell r="G20">
            <v>24691.018568200758</v>
          </cell>
          <cell r="H20">
            <v>24691.018568200758</v>
          </cell>
          <cell r="I20">
            <v>31365.124028240312</v>
          </cell>
          <cell r="J20">
            <v>24691.018568200761</v>
          </cell>
          <cell r="K20">
            <v>24691.018568200761</v>
          </cell>
          <cell r="L20">
            <v>32702.945846072234</v>
          </cell>
          <cell r="M20">
            <v>24691.018568200769</v>
          </cell>
          <cell r="N20">
            <v>24691.018568200769</v>
          </cell>
        </row>
        <row r="21">
          <cell r="C21">
            <v>96357.873800851623</v>
          </cell>
          <cell r="D21">
            <v>75060.696447330309</v>
          </cell>
          <cell r="E21">
            <v>75060.696447330309</v>
          </cell>
          <cell r="F21">
            <v>113402.79220259578</v>
          </cell>
          <cell r="G21">
            <v>75060.696447330309</v>
          </cell>
          <cell r="H21">
            <v>75060.696447330309</v>
          </cell>
          <cell r="I21">
            <v>95349.977045850552</v>
          </cell>
          <cell r="J21">
            <v>75060.696447330323</v>
          </cell>
          <cell r="K21">
            <v>75060.696447330323</v>
          </cell>
          <cell r="L21">
            <v>99416.955372059601</v>
          </cell>
          <cell r="M21">
            <v>75060.696447330338</v>
          </cell>
          <cell r="N21">
            <v>75060.696447330338</v>
          </cell>
        </row>
        <row r="22">
          <cell r="C22">
            <v>375288.56111910637</v>
          </cell>
          <cell r="D22">
            <v>292341.65984749701</v>
          </cell>
          <cell r="E22">
            <v>292341.65984749701</v>
          </cell>
          <cell r="F22">
            <v>441674.03278905724</v>
          </cell>
          <cell r="G22">
            <v>292341.65984749701</v>
          </cell>
          <cell r="H22">
            <v>292341.65984749701</v>
          </cell>
          <cell r="I22">
            <v>371363.06849436532</v>
          </cell>
          <cell r="J22">
            <v>292341.65984749701</v>
          </cell>
          <cell r="K22">
            <v>292341.65984749701</v>
          </cell>
          <cell r="L22">
            <v>387202.87881749531</v>
          </cell>
          <cell r="M22">
            <v>292341.65984749713</v>
          </cell>
          <cell r="N22">
            <v>292341.65984749713</v>
          </cell>
        </row>
        <row r="23">
          <cell r="C23">
            <v>165667.92337690279</v>
          </cell>
          <cell r="D23">
            <v>129051.72371646263</v>
          </cell>
          <cell r="E23">
            <v>129051.72371646263</v>
          </cell>
          <cell r="F23">
            <v>194973.22168165588</v>
          </cell>
          <cell r="G23">
            <v>129051.72371646263</v>
          </cell>
          <cell r="H23">
            <v>129051.72371646263</v>
          </cell>
          <cell r="I23">
            <v>163935.04825426938</v>
          </cell>
          <cell r="J23">
            <v>129051.72371646264</v>
          </cell>
          <cell r="K23">
            <v>129051.72371646264</v>
          </cell>
          <cell r="L23">
            <v>170927.39695547087</v>
          </cell>
          <cell r="M23">
            <v>129051.72371646267</v>
          </cell>
          <cell r="N23">
            <v>129051.72371646267</v>
          </cell>
        </row>
        <row r="24">
          <cell r="C24">
            <v>1496928.0219413002</v>
          </cell>
          <cell r="D24">
            <v>1166074.5035808946</v>
          </cell>
          <cell r="E24">
            <v>1166074.5035808946</v>
          </cell>
          <cell r="F24">
            <v>1761722.3244806766</v>
          </cell>
          <cell r="G24">
            <v>1166074.5035808946</v>
          </cell>
          <cell r="H24">
            <v>1166074.5035808946</v>
          </cell>
          <cell r="I24">
            <v>1481270.2574403626</v>
          </cell>
          <cell r="J24">
            <v>1166074.5035808946</v>
          </cell>
          <cell r="K24">
            <v>1166074.5035808946</v>
          </cell>
          <cell r="L24">
            <v>1544451.1224905048</v>
          </cell>
          <cell r="M24">
            <v>1166074.503580895</v>
          </cell>
          <cell r="N24">
            <v>1166074.503580895</v>
          </cell>
        </row>
        <row r="25">
          <cell r="C25">
            <v>126786.67605375213</v>
          </cell>
          <cell r="D25">
            <v>98764.074272803031</v>
          </cell>
          <cell r="E25">
            <v>98764.074272803031</v>
          </cell>
          <cell r="F25">
            <v>149214.20026657337</v>
          </cell>
          <cell r="G25">
            <v>98764.074272803031</v>
          </cell>
          <cell r="H25">
            <v>98764.074272803031</v>
          </cell>
          <cell r="I25">
            <v>125460.49611296125</v>
          </cell>
          <cell r="J25">
            <v>98764.074272803045</v>
          </cell>
          <cell r="K25">
            <v>98764.074272803045</v>
          </cell>
          <cell r="L25">
            <v>130811.78338428894</v>
          </cell>
          <cell r="M25">
            <v>98764.074272803075</v>
          </cell>
          <cell r="N25">
            <v>98764.074272803075</v>
          </cell>
        </row>
        <row r="26">
          <cell r="C26">
            <v>191025.2585876532</v>
          </cell>
          <cell r="D26">
            <v>148804.53857102324</v>
          </cell>
          <cell r="E26">
            <v>148804.53857102324</v>
          </cell>
          <cell r="F26">
            <v>224816.06173497057</v>
          </cell>
          <cell r="G26">
            <v>148804.53857102324</v>
          </cell>
          <cell r="H26">
            <v>148804.53857102324</v>
          </cell>
          <cell r="I26">
            <v>189027.1474768616</v>
          </cell>
          <cell r="J26">
            <v>148804.53857102324</v>
          </cell>
          <cell r="K26">
            <v>148804.53857102324</v>
          </cell>
          <cell r="L26">
            <v>197089.75363232865</v>
          </cell>
          <cell r="M26">
            <v>148804.53857102329</v>
          </cell>
          <cell r="N26">
            <v>148804.53857102329</v>
          </cell>
        </row>
      </sheetData>
      <sheetData sheetId="25">
        <row r="7">
          <cell r="C7">
            <v>49487.569592003689</v>
          </cell>
          <cell r="D7">
            <v>49987.097107952257</v>
          </cell>
          <cell r="E7">
            <v>30112.873538488253</v>
          </cell>
          <cell r="F7">
            <v>45260.099645168193</v>
          </cell>
          <cell r="G7">
            <v>35324.261531033699</v>
          </cell>
          <cell r="H7">
            <v>45263.973569863534</v>
          </cell>
          <cell r="I7">
            <v>34344.134353426532</v>
          </cell>
          <cell r="J7">
            <v>37587.581978728987</v>
          </cell>
          <cell r="K7">
            <v>39211.654630915633</v>
          </cell>
          <cell r="L7">
            <v>27817.594228389535</v>
          </cell>
          <cell r="M7">
            <v>35640.607055877183</v>
          </cell>
          <cell r="N7">
            <v>57223.573424771588</v>
          </cell>
        </row>
        <row r="8">
          <cell r="C8">
            <v>21160.443854843212</v>
          </cell>
          <cell r="D8">
            <v>21374.03737019109</v>
          </cell>
          <cell r="E8">
            <v>12875.996438550803</v>
          </cell>
          <cell r="F8">
            <v>19352.815369638636</v>
          </cell>
          <cell r="G8">
            <v>15104.339514018397</v>
          </cell>
          <cell r="H8">
            <v>19354.471825324166</v>
          </cell>
          <cell r="I8">
            <v>14685.245865181909</v>
          </cell>
          <cell r="J8">
            <v>16072.115172710543</v>
          </cell>
          <cell r="K8">
            <v>16766.554169333536</v>
          </cell>
          <cell r="L8">
            <v>11894.555455028039</v>
          </cell>
          <cell r="M8">
            <v>15239.606042004507</v>
          </cell>
          <cell r="N8">
            <v>24468.290170872187</v>
          </cell>
        </row>
        <row r="9">
          <cell r="C9">
            <v>15719.452285899188</v>
          </cell>
          <cell r="D9">
            <v>15878.124433615974</v>
          </cell>
          <cell r="E9">
            <v>9565.1874335746015</v>
          </cell>
          <cell r="F9">
            <v>14376.619880363331</v>
          </cell>
          <cell r="G9">
            <v>11220.555954750937</v>
          </cell>
          <cell r="H9">
            <v>14377.850411078611</v>
          </cell>
          <cell r="I9">
            <v>10909.223987359303</v>
          </cell>
          <cell r="J9">
            <v>11939.487154617234</v>
          </cell>
          <cell r="K9">
            <v>12455.364834110445</v>
          </cell>
          <cell r="L9">
            <v>8836.1046781398236</v>
          </cell>
          <cell r="M9">
            <v>11321.04135794678</v>
          </cell>
          <cell r="N9">
            <v>18176.751040622788</v>
          </cell>
        </row>
        <row r="10">
          <cell r="C10">
            <v>199295.26000199773</v>
          </cell>
          <cell r="D10">
            <v>201306.94631009252</v>
          </cell>
          <cell r="E10">
            <v>121269.90698347015</v>
          </cell>
          <cell r="F10">
            <v>182270.48531309591</v>
          </cell>
          <cell r="G10">
            <v>142257.09494821221</v>
          </cell>
          <cell r="H10">
            <v>182286.08629806549</v>
          </cell>
          <cell r="I10">
            <v>138309.94817364504</v>
          </cell>
          <cell r="J10">
            <v>151371.88964938815</v>
          </cell>
          <cell r="K10">
            <v>157912.31958256412</v>
          </cell>
          <cell r="L10">
            <v>112026.40824924974</v>
          </cell>
          <cell r="M10">
            <v>143531.07474038887</v>
          </cell>
          <cell r="N10">
            <v>230449.52576891161</v>
          </cell>
        </row>
        <row r="11">
          <cell r="C11">
            <v>100171.56265789412</v>
          </cell>
          <cell r="D11">
            <v>101182.69438805831</v>
          </cell>
          <cell r="E11">
            <v>60953.76320435269</v>
          </cell>
          <cell r="F11">
            <v>91614.418426421864</v>
          </cell>
          <cell r="G11">
            <v>71502.530968333071</v>
          </cell>
          <cell r="H11">
            <v>91622.259932754678</v>
          </cell>
          <cell r="I11">
            <v>69518.580820976335</v>
          </cell>
          <cell r="J11">
            <v>76083.890447296755</v>
          </cell>
          <cell r="K11">
            <v>79371.29972564154</v>
          </cell>
          <cell r="L11">
            <v>56307.713355380649</v>
          </cell>
          <cell r="M11">
            <v>72142.870064082934</v>
          </cell>
          <cell r="N11">
            <v>115830.59782661723</v>
          </cell>
        </row>
        <row r="12">
          <cell r="C12">
            <v>56391.59976998972</v>
          </cell>
          <cell r="D12">
            <v>56960.816564948676</v>
          </cell>
          <cell r="E12">
            <v>34313.932296669678</v>
          </cell>
          <cell r="F12">
            <v>51574.353838394658</v>
          </cell>
          <cell r="G12">
            <v>40252.3630651356</v>
          </cell>
          <cell r="H12">
            <v>51578.768215838529</v>
          </cell>
          <cell r="I12">
            <v>39135.497961858346</v>
          </cell>
          <cell r="J12">
            <v>42831.44023319862</v>
          </cell>
          <cell r="K12">
            <v>44682.087895925892</v>
          </cell>
          <cell r="L12">
            <v>31698.437672816915</v>
          </cell>
          <cell r="M12">
            <v>40612.842077806352</v>
          </cell>
          <cell r="N12">
            <v>65206.856521395093</v>
          </cell>
        </row>
        <row r="13">
          <cell r="C13">
            <v>16731.521396397518</v>
          </cell>
          <cell r="D13">
            <v>16900.409369480225</v>
          </cell>
          <cell r="E13">
            <v>10181.025095191573</v>
          </cell>
          <cell r="F13">
            <v>15302.233103372624</v>
          </cell>
          <cell r="G13">
            <v>11942.971588443737</v>
          </cell>
          <cell r="H13">
            <v>15303.542859629853</v>
          </cell>
          <cell r="I13">
            <v>11611.595063418856</v>
          </cell>
          <cell r="J13">
            <v>12708.189901036654</v>
          </cell>
          <cell r="K13">
            <v>13257.28145177136</v>
          </cell>
          <cell r="L13">
            <v>9405.0016370941157</v>
          </cell>
          <cell r="M13">
            <v>12049.926566455597</v>
          </cell>
          <cell r="N13">
            <v>19347.028981790918</v>
          </cell>
        </row>
        <row r="14">
          <cell r="C14">
            <v>39018.096574505122</v>
          </cell>
          <cell r="D14">
            <v>39411.945232250742</v>
          </cell>
          <cell r="E14">
            <v>23742.265331422641</v>
          </cell>
          <cell r="F14">
            <v>35684.980157365528</v>
          </cell>
          <cell r="G14">
            <v>27851.144422813915</v>
          </cell>
          <cell r="H14">
            <v>35688.034523727249</v>
          </cell>
          <cell r="I14">
            <v>27078.3706295874</v>
          </cell>
          <cell r="J14">
            <v>29635.64215699839</v>
          </cell>
          <cell r="K14">
            <v>30916.12984531013</v>
          </cell>
          <cell r="L14">
            <v>21932.569876074063</v>
          </cell>
          <cell r="M14">
            <v>28100.564637648022</v>
          </cell>
          <cell r="N14">
            <v>45117.48975821185</v>
          </cell>
        </row>
        <row r="15">
          <cell r="C15">
            <v>24644.957510019882</v>
          </cell>
          <cell r="D15">
            <v>24893.723705392451</v>
          </cell>
          <cell r="E15">
            <v>14996.300989906767</v>
          </cell>
          <cell r="F15">
            <v>22539.664846153002</v>
          </cell>
          <cell r="G15">
            <v>17591.587780173049</v>
          </cell>
          <cell r="H15">
            <v>22541.594072225344</v>
          </cell>
          <cell r="I15">
            <v>17103.481517414744</v>
          </cell>
          <cell r="J15">
            <v>18718.728125210775</v>
          </cell>
          <cell r="K15">
            <v>19527.521158215019</v>
          </cell>
          <cell r="L15">
            <v>13853.245035909164</v>
          </cell>
          <cell r="M15">
            <v>17749.128796685451</v>
          </cell>
          <cell r="N15">
            <v>28497.510531470383</v>
          </cell>
        </row>
        <row r="16">
          <cell r="C16">
            <v>18987.763139484818</v>
          </cell>
          <cell r="D16">
            <v>19179.425616197335</v>
          </cell>
          <cell r="E16">
            <v>11553.933945676406</v>
          </cell>
          <cell r="F16">
            <v>17365.735654773322</v>
          </cell>
          <cell r="G16">
            <v>13553.478511033225</v>
          </cell>
          <cell r="H16">
            <v>17367.222031355192</v>
          </cell>
          <cell r="I16">
            <v>13177.415939191267</v>
          </cell>
          <cell r="J16">
            <v>14421.886333924875</v>
          </cell>
          <cell r="K16">
            <v>15045.022751721752</v>
          </cell>
          <cell r="L16">
            <v>10673.263905938657</v>
          </cell>
          <cell r="M16">
            <v>13674.856342789475</v>
          </cell>
          <cell r="N16">
            <v>21955.971310420704</v>
          </cell>
        </row>
        <row r="17">
          <cell r="C17">
            <v>44967.112246977573</v>
          </cell>
          <cell r="D17">
            <v>45421.010267537116</v>
          </cell>
          <cell r="E17">
            <v>27362.203794769477</v>
          </cell>
          <cell r="F17">
            <v>41125.801849491567</v>
          </cell>
          <cell r="G17">
            <v>32097.555939870734</v>
          </cell>
          <cell r="H17">
            <v>41129.321909337865</v>
          </cell>
          <cell r="I17">
            <v>31206.958782339352</v>
          </cell>
          <cell r="J17">
            <v>34154.132681494324</v>
          </cell>
          <cell r="K17">
            <v>35629.853915133644</v>
          </cell>
          <cell r="L17">
            <v>25276.587482909788</v>
          </cell>
          <cell r="M17">
            <v>32385.004784939178</v>
          </cell>
          <cell r="N17">
            <v>51996.468417811469</v>
          </cell>
        </row>
        <row r="18">
          <cell r="C18">
            <v>32819.71374054248</v>
          </cell>
          <cell r="D18">
            <v>33150.995923404123</v>
          </cell>
          <cell r="E18">
            <v>19970.588525285591</v>
          </cell>
          <cell r="F18">
            <v>30016.09346487014</v>
          </cell>
          <cell r="G18">
            <v>23426.734452764689</v>
          </cell>
          <cell r="H18">
            <v>30018.662617095677</v>
          </cell>
          <cell r="I18">
            <v>22776.72287079379</v>
          </cell>
          <cell r="J18">
            <v>24927.74833986571</v>
          </cell>
          <cell r="K18">
            <v>26004.818803783219</v>
          </cell>
          <cell r="L18">
            <v>18448.379806346969</v>
          </cell>
          <cell r="M18">
            <v>23636.531976750233</v>
          </cell>
          <cell r="N18">
            <v>37950.162323497476</v>
          </cell>
        </row>
        <row r="19">
          <cell r="C19">
            <v>58334.808806650515</v>
          </cell>
          <cell r="D19">
            <v>58923.640353173447</v>
          </cell>
          <cell r="E19">
            <v>35496.362722375401</v>
          </cell>
          <cell r="F19">
            <v>53351.564466351432</v>
          </cell>
          <cell r="G19">
            <v>41639.427024557961</v>
          </cell>
          <cell r="H19">
            <v>53356.130959680908</v>
          </cell>
          <cell r="I19">
            <v>40484.075650802981</v>
          </cell>
          <cell r="J19">
            <v>44307.377111276721</v>
          </cell>
          <cell r="K19">
            <v>46221.796599533947</v>
          </cell>
          <cell r="L19">
            <v>32790.740263718537</v>
          </cell>
          <cell r="M19">
            <v>42012.327853204952</v>
          </cell>
          <cell r="N19">
            <v>67453.832194393326</v>
          </cell>
        </row>
        <row r="20">
          <cell r="C20">
            <v>9946.8484494325839</v>
          </cell>
          <cell r="D20">
            <v>10047.251935367056</v>
          </cell>
          <cell r="E20">
            <v>6052.5944582388584</v>
          </cell>
          <cell r="F20">
            <v>9097.1400634200691</v>
          </cell>
          <cell r="G20">
            <v>7100.0673287072887</v>
          </cell>
          <cell r="H20">
            <v>9097.9187103038566</v>
          </cell>
          <cell r="I20">
            <v>6903.0647970169075</v>
          </cell>
          <cell r="J20">
            <v>7554.9877394555397</v>
          </cell>
          <cell r="K20">
            <v>7881.4213201577695</v>
          </cell>
          <cell r="L20">
            <v>5591.2504149791703</v>
          </cell>
          <cell r="M20">
            <v>7163.6518009134707</v>
          </cell>
          <cell r="N20">
            <v>11501.761296500457</v>
          </cell>
        </row>
        <row r="21">
          <cell r="C21">
            <v>31140.456664174955</v>
          </cell>
          <cell r="D21">
            <v>31454.788426498406</v>
          </cell>
          <cell r="E21">
            <v>18948.771200325715</v>
          </cell>
          <cell r="F21">
            <v>28480.286731323682</v>
          </cell>
          <cell r="G21">
            <v>22228.079585845735</v>
          </cell>
          <cell r="H21">
            <v>28482.724430024391</v>
          </cell>
          <cell r="I21">
            <v>21611.326567839613</v>
          </cell>
          <cell r="J21">
            <v>23652.292431610233</v>
          </cell>
          <cell r="K21">
            <v>24674.253389924535</v>
          </cell>
          <cell r="L21">
            <v>17504.447979816297</v>
          </cell>
          <cell r="M21">
            <v>22427.142586686368</v>
          </cell>
          <cell r="N21">
            <v>36008.400151687129</v>
          </cell>
        </row>
        <row r="22">
          <cell r="C22">
            <v>129750.83488649508</v>
          </cell>
          <cell r="D22">
            <v>131060.53978365325</v>
          </cell>
          <cell r="E22">
            <v>78952.563535907117</v>
          </cell>
          <cell r="F22">
            <v>118666.88472321804</v>
          </cell>
          <cell r="G22">
            <v>92616.236020229044</v>
          </cell>
          <cell r="H22">
            <v>118677.04171754312</v>
          </cell>
          <cell r="I22">
            <v>90046.452928476167</v>
          </cell>
          <cell r="J22">
            <v>98550.40737124224</v>
          </cell>
          <cell r="K22">
            <v>102808.54298539432</v>
          </cell>
          <cell r="L22">
            <v>72934.599646423056</v>
          </cell>
          <cell r="M22">
            <v>93445.658364050905</v>
          </cell>
          <cell r="N22">
            <v>150033.76581767882</v>
          </cell>
        </row>
        <row r="23">
          <cell r="C23">
            <v>52682.925120104977</v>
          </cell>
          <cell r="D23">
            <v>53214.706554010809</v>
          </cell>
          <cell r="E23">
            <v>32057.227195810941</v>
          </cell>
          <cell r="F23">
            <v>48182.492294391595</v>
          </cell>
          <cell r="G23">
            <v>37605.108525336742</v>
          </cell>
          <cell r="H23">
            <v>48186.616353954996</v>
          </cell>
          <cell r="I23">
            <v>36561.695661626378</v>
          </cell>
          <cell r="J23">
            <v>40014.568974734124</v>
          </cell>
          <cell r="K23">
            <v>41743.506132694376</v>
          </cell>
          <cell r="L23">
            <v>29613.74433697206</v>
          </cell>
          <cell r="M23">
            <v>37941.880117371082</v>
          </cell>
          <cell r="N23">
            <v>60918.433834932017</v>
          </cell>
        </row>
        <row r="24">
          <cell r="C24">
            <v>548619.70823383552</v>
          </cell>
          <cell r="D24">
            <v>554157.47544111335</v>
          </cell>
          <cell r="E24">
            <v>333831.62743634178</v>
          </cell>
          <cell r="F24">
            <v>501753.93268815277</v>
          </cell>
          <cell r="G24">
            <v>391605.12861118175</v>
          </cell>
          <cell r="H24">
            <v>501796.8790573845</v>
          </cell>
          <cell r="I24">
            <v>380739.42858501227</v>
          </cell>
          <cell r="J24">
            <v>416696.32249868475</v>
          </cell>
          <cell r="K24">
            <v>434700.80871489929</v>
          </cell>
          <cell r="L24">
            <v>308386.13726975681</v>
          </cell>
          <cell r="M24">
            <v>395112.13837083563</v>
          </cell>
          <cell r="N24">
            <v>634381.12671971601</v>
          </cell>
        </row>
        <row r="25">
          <cell r="C25">
            <v>40542.153219355918</v>
          </cell>
          <cell r="D25">
            <v>40951.3857045201</v>
          </cell>
          <cell r="E25">
            <v>24669.644174034063</v>
          </cell>
          <cell r="F25">
            <v>37078.8444384268</v>
          </cell>
          <cell r="G25">
            <v>28939.017113969843</v>
          </cell>
          <cell r="H25">
            <v>37082.018109105185</v>
          </cell>
          <cell r="I25">
            <v>28136.058582431338</v>
          </cell>
          <cell r="J25">
            <v>30793.217777519716</v>
          </cell>
          <cell r="K25">
            <v>32123.721636310056</v>
          </cell>
          <cell r="L25">
            <v>22789.261560007366</v>
          </cell>
          <cell r="M25">
            <v>29198.17974499414</v>
          </cell>
          <cell r="N25">
            <v>46879.790231626539</v>
          </cell>
        </row>
        <row r="26">
          <cell r="C26">
            <v>76160.66008531324</v>
          </cell>
          <cell r="D26">
            <v>76929.425770495873</v>
          </cell>
          <cell r="E26">
            <v>46343.28063925376</v>
          </cell>
          <cell r="F26">
            <v>69654.644447522864</v>
          </cell>
          <cell r="G26">
            <v>54363.532042690422</v>
          </cell>
          <cell r="H26">
            <v>69660.606362087477</v>
          </cell>
          <cell r="I26">
            <v>52855.130368703605</v>
          </cell>
          <cell r="J26">
            <v>57846.74976185101</v>
          </cell>
          <cell r="K26">
            <v>60346.174288793758</v>
          </cell>
          <cell r="L26">
            <v>42810.878689057223</v>
          </cell>
          <cell r="M26">
            <v>54850.383269892474</v>
          </cell>
          <cell r="N26">
            <v>88066.259070746484</v>
          </cell>
        </row>
      </sheetData>
      <sheetData sheetId="26">
        <row r="7">
          <cell r="C7">
            <v>108515.59232688899</v>
          </cell>
          <cell r="D7">
            <v>109186.11860558472</v>
          </cell>
          <cell r="E7">
            <v>124058.65010120287</v>
          </cell>
          <cell r="F7">
            <v>119027.88731383004</v>
          </cell>
          <cell r="G7">
            <v>127038.63635508782</v>
          </cell>
          <cell r="H7">
            <v>122051.48316272711</v>
          </cell>
          <cell r="I7">
            <v>126529.47708009076</v>
          </cell>
          <cell r="J7">
            <v>125596.10193680914</v>
          </cell>
          <cell r="K7">
            <v>119822.41502762708</v>
          </cell>
          <cell r="L7">
            <v>126138.19845114372</v>
          </cell>
          <cell r="M7">
            <v>121486.08657087667</v>
          </cell>
          <cell r="N7">
            <v>89422.97806813092</v>
          </cell>
        </row>
        <row r="8">
          <cell r="C8">
            <v>44298.145908784827</v>
          </cell>
          <cell r="D8">
            <v>44571.867595156502</v>
          </cell>
          <cell r="E8">
            <v>50643.120178299265</v>
          </cell>
          <cell r="F8">
            <v>48589.466328111448</v>
          </cell>
          <cell r="G8">
            <v>51859.607717556399</v>
          </cell>
          <cell r="H8">
            <v>49823.756140400932</v>
          </cell>
          <cell r="I8">
            <v>51651.759136804176</v>
          </cell>
          <cell r="J8">
            <v>51270.737502971402</v>
          </cell>
          <cell r="K8">
            <v>48913.807778401198</v>
          </cell>
          <cell r="L8">
            <v>51492.03169649429</v>
          </cell>
          <cell r="M8">
            <v>49592.950408385273</v>
          </cell>
          <cell r="N8">
            <v>36504.174608634268</v>
          </cell>
        </row>
        <row r="9">
          <cell r="C9">
            <v>32406.026201728495</v>
          </cell>
          <cell r="D9">
            <v>32606.265556188315</v>
          </cell>
          <cell r="E9">
            <v>37047.651674057852</v>
          </cell>
          <cell r="F9">
            <v>35545.314293719115</v>
          </cell>
          <cell r="G9">
            <v>37937.565377272804</v>
          </cell>
          <cell r="H9">
            <v>36448.251136266452</v>
          </cell>
          <cell r="I9">
            <v>37785.515073232586</v>
          </cell>
          <cell r="J9">
            <v>37506.781126334783</v>
          </cell>
          <cell r="K9">
            <v>35782.584213729737</v>
          </cell>
          <cell r="L9">
            <v>37668.667482670317</v>
          </cell>
          <cell r="M9">
            <v>36279.406674590566</v>
          </cell>
          <cell r="N9">
            <v>26704.396190208961</v>
          </cell>
        </row>
        <row r="10">
          <cell r="C10">
            <v>262221.23954059207</v>
          </cell>
          <cell r="D10">
            <v>263841.52495924855</v>
          </cell>
          <cell r="E10">
            <v>299780.08051852317</v>
          </cell>
          <cell r="F10">
            <v>287623.55235835095</v>
          </cell>
          <cell r="G10">
            <v>306981.03360325331</v>
          </cell>
          <cell r="H10">
            <v>294929.88534116524</v>
          </cell>
          <cell r="I10">
            <v>305750.68160175357</v>
          </cell>
          <cell r="J10">
            <v>303495.23810483742</v>
          </cell>
          <cell r="K10">
            <v>289543.47960100573</v>
          </cell>
          <cell r="L10">
            <v>304805.18091481854</v>
          </cell>
          <cell r="M10">
            <v>293563.6393301732</v>
          </cell>
          <cell r="N10">
            <v>216085.114126278</v>
          </cell>
        </row>
        <row r="11">
          <cell r="C11">
            <v>197111.88414445863</v>
          </cell>
          <cell r="D11">
            <v>198329.85379589771</v>
          </cell>
          <cell r="E11">
            <v>225344.8904578014</v>
          </cell>
          <cell r="F11">
            <v>216206.81997005295</v>
          </cell>
          <cell r="G11">
            <v>230757.8517902006</v>
          </cell>
          <cell r="H11">
            <v>221698.99544352895</v>
          </cell>
          <cell r="I11">
            <v>229832.99535369911</v>
          </cell>
          <cell r="J11">
            <v>228137.57694275194</v>
          </cell>
          <cell r="K11">
            <v>217650.03058442948</v>
          </cell>
          <cell r="L11">
            <v>229122.2618441323</v>
          </cell>
          <cell r="M11">
            <v>220671.98738764721</v>
          </cell>
          <cell r="N11">
            <v>162431.32728539946</v>
          </cell>
        </row>
        <row r="12">
          <cell r="C12">
            <v>95731.563641803441</v>
          </cell>
          <cell r="D12">
            <v>96323.096413693915</v>
          </cell>
          <cell r="E12">
            <v>109443.52145914338</v>
          </cell>
          <cell r="F12">
            <v>105005.42387685829</v>
          </cell>
          <cell r="G12">
            <v>112072.44083928295</v>
          </cell>
          <cell r="H12">
            <v>107672.81528328254</v>
          </cell>
          <cell r="I12">
            <v>111623.26471175131</v>
          </cell>
          <cell r="J12">
            <v>110799.84883192478</v>
          </cell>
          <cell r="K12">
            <v>105706.34969560527</v>
          </cell>
          <cell r="L12">
            <v>111278.08192128297</v>
          </cell>
          <cell r="M12">
            <v>107174.02705704737</v>
          </cell>
          <cell r="N12">
            <v>78888.216268323711</v>
          </cell>
        </row>
        <row r="13">
          <cell r="C13">
            <v>33000.632187081312</v>
          </cell>
          <cell r="D13">
            <v>33204.545658136725</v>
          </cell>
          <cell r="E13">
            <v>37727.425099269924</v>
          </cell>
          <cell r="F13">
            <v>36197.521895438731</v>
          </cell>
          <cell r="G13">
            <v>38633.667494286979</v>
          </cell>
          <cell r="H13">
            <v>37117.026386473175</v>
          </cell>
          <cell r="I13">
            <v>38478.827276411168</v>
          </cell>
          <cell r="J13">
            <v>38194.978945166622</v>
          </cell>
          <cell r="K13">
            <v>36439.145391963313</v>
          </cell>
          <cell r="L13">
            <v>38359.835693361521</v>
          </cell>
          <cell r="M13">
            <v>36945.083861280305</v>
          </cell>
          <cell r="N13">
            <v>27194.385111130228</v>
          </cell>
        </row>
        <row r="14">
          <cell r="C14">
            <v>80569.111015306626</v>
          </cell>
          <cell r="D14">
            <v>81066.953814009481</v>
          </cell>
          <cell r="E14">
            <v>92109.299116235561</v>
          </cell>
          <cell r="F14">
            <v>88374.13003300807</v>
          </cell>
          <cell r="G14">
            <v>94321.836855421367</v>
          </cell>
          <cell r="H14">
            <v>90619.046403011089</v>
          </cell>
          <cell r="I14">
            <v>93943.803530697522</v>
          </cell>
          <cell r="J14">
            <v>93250.804451713091</v>
          </cell>
          <cell r="K14">
            <v>88964.039650649152</v>
          </cell>
          <cell r="L14">
            <v>93653.292548657395</v>
          </cell>
          <cell r="M14">
            <v>90199.258796459122</v>
          </cell>
          <cell r="N14">
            <v>66393.498784831449</v>
          </cell>
        </row>
        <row r="15">
          <cell r="C15">
            <v>50244.20576231298</v>
          </cell>
          <cell r="D15">
            <v>50554.668614640592</v>
          </cell>
          <cell r="E15">
            <v>57440.85443041996</v>
          </cell>
          <cell r="F15">
            <v>55111.542345307607</v>
          </cell>
          <cell r="G15">
            <v>58820.628887698193</v>
          </cell>
          <cell r="H15">
            <v>56511.508642468165</v>
          </cell>
          <cell r="I15">
            <v>58584.881168589964</v>
          </cell>
          <cell r="J15">
            <v>58152.715691289712</v>
          </cell>
          <cell r="K15">
            <v>55479.419560736926</v>
          </cell>
          <cell r="L15">
            <v>58403.713803406266</v>
          </cell>
          <cell r="M15">
            <v>56249.72227528262</v>
          </cell>
          <cell r="N15">
            <v>41404.063817846916</v>
          </cell>
        </row>
        <row r="16">
          <cell r="C16">
            <v>37757.480069903839</v>
          </cell>
          <cell r="D16">
            <v>37990.786473723994</v>
          </cell>
          <cell r="E16">
            <v>43165.612500966483</v>
          </cell>
          <cell r="F16">
            <v>41415.182709195658</v>
          </cell>
          <cell r="G16">
            <v>44202.484430400422</v>
          </cell>
          <cell r="H16">
            <v>42467.228388126969</v>
          </cell>
          <cell r="I16">
            <v>44025.324901839798</v>
          </cell>
          <cell r="J16">
            <v>43700.561495821261</v>
          </cell>
          <cell r="K16">
            <v>41691.634817831895</v>
          </cell>
          <cell r="L16">
            <v>43889.181378891102</v>
          </cell>
          <cell r="M16">
            <v>42270.501354798187</v>
          </cell>
          <cell r="N16">
            <v>31114.296478500346</v>
          </cell>
        </row>
        <row r="17">
          <cell r="C17">
            <v>100785.71451730239</v>
          </cell>
          <cell r="D17">
            <v>101408.47728025539</v>
          </cell>
          <cell r="E17">
            <v>115221.59557344597</v>
          </cell>
          <cell r="F17">
            <v>110549.18849147504</v>
          </cell>
          <cell r="G17">
            <v>117989.30883390349</v>
          </cell>
          <cell r="H17">
            <v>113357.4049100397</v>
          </cell>
          <cell r="I17">
            <v>117516.41843876924</v>
          </cell>
          <cell r="J17">
            <v>116649.53029199534</v>
          </cell>
          <cell r="K17">
            <v>111287.11971059065</v>
          </cell>
          <cell r="L17">
            <v>117153.01171215814</v>
          </cell>
          <cell r="M17">
            <v>112832.28314391011</v>
          </cell>
          <cell r="N17">
            <v>83053.122096154475</v>
          </cell>
        </row>
        <row r="18">
          <cell r="C18">
            <v>65703.961381486224</v>
          </cell>
          <cell r="D18">
            <v>66109.951265299242</v>
          </cell>
          <cell r="E18">
            <v>75114.963485933811</v>
          </cell>
          <cell r="F18">
            <v>72068.93999001765</v>
          </cell>
          <cell r="G18">
            <v>76919.283930066871</v>
          </cell>
          <cell r="H18">
            <v>73899.665147842999</v>
          </cell>
          <cell r="I18">
            <v>76610.998451233041</v>
          </cell>
          <cell r="J18">
            <v>76045.858980917328</v>
          </cell>
          <cell r="K18">
            <v>72550.010194809831</v>
          </cell>
          <cell r="L18">
            <v>76374.087281377448</v>
          </cell>
          <cell r="M18">
            <v>73557.329129215752</v>
          </cell>
          <cell r="N18">
            <v>54143.775761799821</v>
          </cell>
        </row>
        <row r="19">
          <cell r="C19">
            <v>117434.68210718124</v>
          </cell>
          <cell r="D19">
            <v>118160.32013481087</v>
          </cell>
          <cell r="E19">
            <v>134255.25147938394</v>
          </cell>
          <cell r="F19">
            <v>128811.0013396243</v>
          </cell>
          <cell r="G19">
            <v>137480.16811030052</v>
          </cell>
          <cell r="H19">
            <v>132083.11191582796</v>
          </cell>
          <cell r="I19">
            <v>136929.16012776946</v>
          </cell>
          <cell r="J19">
            <v>135919.06921928661</v>
          </cell>
          <cell r="K19">
            <v>129670.8327011307</v>
          </cell>
          <cell r="L19">
            <v>136505.72161151172</v>
          </cell>
          <cell r="M19">
            <v>131471.24437122271</v>
          </cell>
          <cell r="N19">
            <v>96772.811881949907</v>
          </cell>
        </row>
        <row r="20">
          <cell r="C20">
            <v>22297.724450730617</v>
          </cell>
          <cell r="D20">
            <v>22435.503823065352</v>
          </cell>
          <cell r="E20">
            <v>25491.503445452647</v>
          </cell>
          <cell r="F20">
            <v>24457.785064485626</v>
          </cell>
          <cell r="G20">
            <v>26103.829388031743</v>
          </cell>
          <cell r="H20">
            <v>25079.071882752145</v>
          </cell>
          <cell r="I20">
            <v>25999.207619196732</v>
          </cell>
          <cell r="J20">
            <v>25807.418206193659</v>
          </cell>
          <cell r="K20">
            <v>24621.04418375899</v>
          </cell>
          <cell r="L20">
            <v>25918.807900919943</v>
          </cell>
          <cell r="M20">
            <v>24962.89450086507</v>
          </cell>
          <cell r="N20">
            <v>18374.584534547448</v>
          </cell>
        </row>
        <row r="21">
          <cell r="C21">
            <v>67785.082330221077</v>
          </cell>
          <cell r="D21">
            <v>68203.931622118675</v>
          </cell>
          <cell r="E21">
            <v>77494.170474176048</v>
          </cell>
          <cell r="F21">
            <v>74351.666596036303</v>
          </cell>
          <cell r="G21">
            <v>79355.641339616501</v>
          </cell>
          <cell r="H21">
            <v>76240.378523566527</v>
          </cell>
          <cell r="I21">
            <v>79037.591162358076</v>
          </cell>
          <cell r="J21">
            <v>78454.551346828724</v>
          </cell>
          <cell r="K21">
            <v>74847.974318627341</v>
          </cell>
          <cell r="L21">
            <v>78793.176018796628</v>
          </cell>
          <cell r="M21">
            <v>75887.199282629823</v>
          </cell>
          <cell r="N21">
            <v>55858.736985024247</v>
          </cell>
        </row>
        <row r="22">
          <cell r="C22">
            <v>264005.05749665049</v>
          </cell>
          <cell r="D22">
            <v>265636.3652650938</v>
          </cell>
          <cell r="E22">
            <v>301819.40079415939</v>
          </cell>
          <cell r="F22">
            <v>289580.17516350985</v>
          </cell>
          <cell r="G22">
            <v>309069.33995429584</v>
          </cell>
          <cell r="H22">
            <v>296936.2110917854</v>
          </cell>
          <cell r="I22">
            <v>307830.61821128934</v>
          </cell>
          <cell r="J22">
            <v>305559.83156133298</v>
          </cell>
          <cell r="K22">
            <v>291513.16313570651</v>
          </cell>
          <cell r="L22">
            <v>306878.68554689217</v>
          </cell>
          <cell r="M22">
            <v>295560.67089024244</v>
          </cell>
          <cell r="N22">
            <v>217555.08088904183</v>
          </cell>
        </row>
        <row r="23">
          <cell r="C23">
            <v>116542.77312915202</v>
          </cell>
          <cell r="D23">
            <v>117262.89998188824</v>
          </cell>
          <cell r="E23">
            <v>133235.59134156583</v>
          </cell>
          <cell r="F23">
            <v>127832.68993704488</v>
          </cell>
          <cell r="G23">
            <v>136436.01493477923</v>
          </cell>
          <cell r="H23">
            <v>131079.94904051788</v>
          </cell>
          <cell r="I23">
            <v>135889.19182300157</v>
          </cell>
          <cell r="J23">
            <v>134886.77249103886</v>
          </cell>
          <cell r="K23">
            <v>128685.99093378033</v>
          </cell>
          <cell r="L23">
            <v>135468.9692954749</v>
          </cell>
          <cell r="M23">
            <v>130472.72859118809</v>
          </cell>
          <cell r="N23">
            <v>96037.828500568008</v>
          </cell>
        </row>
        <row r="24">
          <cell r="C24">
            <v>1053047.2000598379</v>
          </cell>
          <cell r="D24">
            <v>1059554.0605506331</v>
          </cell>
          <cell r="E24">
            <v>1203878.7360505771</v>
          </cell>
          <cell r="F24">
            <v>1155059.6626454412</v>
          </cell>
          <cell r="G24">
            <v>1232796.8492321125</v>
          </cell>
          <cell r="H24">
            <v>1184400.9681161081</v>
          </cell>
          <cell r="I24">
            <v>1227855.9118292644</v>
          </cell>
          <cell r="J24">
            <v>1218798.3371511726</v>
          </cell>
          <cell r="K24">
            <v>1162769.846651658</v>
          </cell>
          <cell r="L24">
            <v>1224058.9011341126</v>
          </cell>
          <cell r="M24">
            <v>1178914.297627521</v>
          </cell>
          <cell r="N24">
            <v>867770.37895156094</v>
          </cell>
        </row>
        <row r="25">
          <cell r="C25">
            <v>89190.897802922467</v>
          </cell>
          <cell r="D25">
            <v>89742.015292261407</v>
          </cell>
          <cell r="E25">
            <v>101966.01378181059</v>
          </cell>
          <cell r="F25">
            <v>97831.140257942505</v>
          </cell>
          <cell r="G25">
            <v>104415.31755212697</v>
          </cell>
          <cell r="H25">
            <v>100316.28753100858</v>
          </cell>
          <cell r="I25">
            <v>103996.83047678693</v>
          </cell>
          <cell r="J25">
            <v>103229.67282477464</v>
          </cell>
          <cell r="K25">
            <v>98484.176735035959</v>
          </cell>
          <cell r="L25">
            <v>103675.23160367977</v>
          </cell>
          <cell r="M25">
            <v>99851.578003460279</v>
          </cell>
          <cell r="N25">
            <v>73498.338138189793</v>
          </cell>
        </row>
        <row r="26">
          <cell r="C26">
            <v>134380.9526897365</v>
          </cell>
          <cell r="D26">
            <v>135211.30304034051</v>
          </cell>
          <cell r="E26">
            <v>153628.79409792795</v>
          </cell>
          <cell r="F26">
            <v>147398.91798863336</v>
          </cell>
          <cell r="G26">
            <v>157319.07844520462</v>
          </cell>
          <cell r="H26">
            <v>151143.20654671959</v>
          </cell>
          <cell r="I26">
            <v>156688.55791835897</v>
          </cell>
          <cell r="J26">
            <v>155532.70705599379</v>
          </cell>
          <cell r="K26">
            <v>148382.82628078753</v>
          </cell>
          <cell r="L26">
            <v>156204.01561621085</v>
          </cell>
          <cell r="M26">
            <v>150443.04419188015</v>
          </cell>
          <cell r="N26">
            <v>110737.49612820595</v>
          </cell>
        </row>
      </sheetData>
      <sheetData sheetId="27">
        <row r="7">
          <cell r="C7">
            <v>59001.003114284846</v>
          </cell>
        </row>
      </sheetData>
      <sheetData sheetId="28">
        <row r="7">
          <cell r="C7">
            <v>56963.546951054755</v>
          </cell>
        </row>
      </sheetData>
      <sheetData sheetId="29"/>
      <sheetData sheetId="30"/>
      <sheetData sheetId="31"/>
      <sheetData sheetId="32"/>
      <sheetData sheetId="33"/>
      <sheetData sheetId="34"/>
      <sheetData sheetId="35"/>
      <sheetData sheetId="3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22.55 POE"/>
      <sheetName val="CONCENTRADO A AYUNT"/>
      <sheetName val="CONCENTRADO A EDO"/>
      <sheetName val="partrecib"/>
      <sheetName val="TRANSMUNI"/>
      <sheetName val="Hoja1"/>
      <sheetName val="X22.55 DOF"/>
      <sheetName val="CONCENTRADO"/>
      <sheetName val="FGP"/>
      <sheetName val="FFM"/>
      <sheetName val="FOFIR"/>
      <sheetName val="FOCO"/>
      <sheetName val="IEPS"/>
      <sheetName val="GAS Y DIESEL"/>
      <sheetName val="ISR"/>
      <sheetName val="Foco ISAN"/>
      <sheetName val="ISAN"/>
      <sheetName val="REPECOS E INT"/>
      <sheetName val="OTROS IN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UESTA DE CALENDARIO 2019."/>
      <sheetName val="FFMmofidicar"/>
      <sheetName val="Datos"/>
      <sheetName val=" total"/>
      <sheetName val="FGP total"/>
      <sheetName val="FFM"/>
      <sheetName val="FOFIR"/>
      <sheetName val="FOCOmodificado"/>
      <sheetName val="IEPS TyA (2)"/>
      <sheetName val="IEPS GyD"/>
      <sheetName val="FGP 60%"/>
      <sheetName val="FGP 30%"/>
      <sheetName val="FGP 10%"/>
      <sheetName val="CENSO"/>
      <sheetName val="FOCO70 y 30"/>
      <sheetName val="IEPS TyA"/>
      <sheetName val="FOCO"/>
      <sheetName val="FFM factor 2014"/>
      <sheetName val="ISAN"/>
      <sheetName val="ISAN modificado"/>
      <sheetName val="ISAN  ok"/>
      <sheetName val="FOCO isan"/>
      <sheetName val="Hoja1"/>
    </sheetNames>
    <sheetDataSet>
      <sheetData sheetId="0"/>
      <sheetData sheetId="1"/>
      <sheetData sheetId="2">
        <row r="13">
          <cell r="I13">
            <v>976528016.10000002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R50"/>
  <sheetViews>
    <sheetView tabSelected="1" workbookViewId="0">
      <selection sqref="A1:G1"/>
    </sheetView>
  </sheetViews>
  <sheetFormatPr baseColWidth="10" defaultRowHeight="15" x14ac:dyDescent="0.25"/>
  <cols>
    <col min="1" max="1" width="15.85546875" bestFit="1" customWidth="1"/>
    <col min="2" max="4" width="15.85546875" customWidth="1"/>
    <col min="5" max="5" width="15.85546875" bestFit="1" customWidth="1"/>
    <col min="6" max="7" width="15.85546875" customWidth="1"/>
  </cols>
  <sheetData>
    <row r="1" spans="1:18" ht="15.75" x14ac:dyDescent="0.25">
      <c r="A1" s="962" t="s">
        <v>331</v>
      </c>
      <c r="B1" s="962"/>
      <c r="C1" s="962"/>
      <c r="D1" s="962"/>
      <c r="E1" s="962"/>
      <c r="F1" s="962"/>
      <c r="G1" s="962"/>
    </row>
    <row r="2" spans="1:18" ht="30" customHeight="1" x14ac:dyDescent="0.25">
      <c r="A2" s="963" t="s">
        <v>431</v>
      </c>
      <c r="B2" s="963"/>
      <c r="C2" s="963"/>
      <c r="D2" s="963"/>
      <c r="E2" s="963"/>
      <c r="F2" s="963"/>
      <c r="G2" s="963"/>
    </row>
    <row r="4" spans="1:18" ht="15.75" x14ac:dyDescent="0.25">
      <c r="A4" s="1"/>
      <c r="B4" s="1"/>
      <c r="C4" s="1"/>
      <c r="D4" s="1"/>
      <c r="E4" s="1"/>
    </row>
    <row r="5" spans="1:18" ht="30" customHeight="1" x14ac:dyDescent="0.25">
      <c r="A5" s="705" t="s">
        <v>332</v>
      </c>
      <c r="B5" s="954" t="s">
        <v>0</v>
      </c>
      <c r="C5" s="955"/>
      <c r="D5" s="954" t="s">
        <v>333</v>
      </c>
      <c r="E5" s="955"/>
      <c r="F5" s="956" t="s">
        <v>374</v>
      </c>
      <c r="G5" s="957"/>
      <c r="N5" s="2"/>
      <c r="O5" s="3"/>
      <c r="P5" s="3"/>
      <c r="Q5" s="3"/>
      <c r="R5" s="3"/>
    </row>
    <row r="6" spans="1:18" ht="15.75" customHeight="1" x14ac:dyDescent="0.25">
      <c r="A6" s="706"/>
      <c r="B6" s="954" t="s">
        <v>334</v>
      </c>
      <c r="C6" s="955"/>
      <c r="D6" s="954" t="s">
        <v>334</v>
      </c>
      <c r="E6" s="955"/>
      <c r="F6" s="958" t="s">
        <v>334</v>
      </c>
      <c r="G6" s="958"/>
      <c r="N6" s="2"/>
      <c r="O6" s="3"/>
      <c r="P6" s="3"/>
      <c r="Q6" s="3"/>
      <c r="R6" s="3"/>
    </row>
    <row r="7" spans="1:18" ht="15.75" x14ac:dyDescent="0.25">
      <c r="A7" s="922" t="s">
        <v>1</v>
      </c>
      <c r="B7" s="922" t="s">
        <v>1</v>
      </c>
      <c r="C7" s="923" t="s">
        <v>208</v>
      </c>
      <c r="D7" s="922" t="s">
        <v>2</v>
      </c>
      <c r="E7" s="924" t="s">
        <v>338</v>
      </c>
      <c r="F7" s="922" t="s">
        <v>1</v>
      </c>
      <c r="G7" s="923" t="s">
        <v>208</v>
      </c>
      <c r="N7" s="4"/>
      <c r="O7" s="4"/>
      <c r="P7" s="6"/>
      <c r="Q7" s="4"/>
      <c r="R7" s="6"/>
    </row>
    <row r="8" spans="1:18" ht="15.75" x14ac:dyDescent="0.25">
      <c r="A8" s="925" t="s">
        <v>2</v>
      </c>
      <c r="B8" s="925" t="s">
        <v>3</v>
      </c>
      <c r="C8" s="926" t="s">
        <v>373</v>
      </c>
      <c r="D8" s="925" t="s">
        <v>3</v>
      </c>
      <c r="E8" s="927" t="s">
        <v>338</v>
      </c>
      <c r="F8" s="925" t="s">
        <v>3</v>
      </c>
      <c r="G8" s="926" t="s">
        <v>373</v>
      </c>
      <c r="N8" s="4"/>
      <c r="O8" s="4"/>
      <c r="P8" s="6"/>
      <c r="Q8" s="4"/>
      <c r="R8" s="6"/>
    </row>
    <row r="9" spans="1:18" ht="15.75" x14ac:dyDescent="0.25">
      <c r="A9" s="925" t="s">
        <v>3</v>
      </c>
      <c r="B9" s="925" t="s">
        <v>3</v>
      </c>
      <c r="C9" s="926" t="s">
        <v>208</v>
      </c>
      <c r="D9" s="925" t="s">
        <v>4</v>
      </c>
      <c r="E9" s="927" t="s">
        <v>336</v>
      </c>
      <c r="F9" s="925" t="s">
        <v>3</v>
      </c>
      <c r="G9" s="926" t="s">
        <v>208</v>
      </c>
      <c r="N9" s="4"/>
      <c r="O9" s="4"/>
      <c r="P9" s="6"/>
      <c r="Q9" s="4"/>
      <c r="R9" s="6"/>
    </row>
    <row r="10" spans="1:18" ht="15.75" x14ac:dyDescent="0.25">
      <c r="A10" s="925" t="s">
        <v>4</v>
      </c>
      <c r="B10" s="925" t="s">
        <v>4</v>
      </c>
      <c r="C10" s="926" t="s">
        <v>339</v>
      </c>
      <c r="D10" s="925" t="s">
        <v>5</v>
      </c>
      <c r="E10" s="927" t="s">
        <v>337</v>
      </c>
      <c r="F10" s="925" t="s">
        <v>4</v>
      </c>
      <c r="G10" s="926" t="s">
        <v>339</v>
      </c>
      <c r="N10" s="4"/>
      <c r="O10" s="4"/>
      <c r="P10" s="6"/>
      <c r="Q10" s="4"/>
      <c r="R10" s="6"/>
    </row>
    <row r="11" spans="1:18" ht="15.75" x14ac:dyDescent="0.25">
      <c r="A11" s="925" t="s">
        <v>5</v>
      </c>
      <c r="B11" s="925" t="s">
        <v>5</v>
      </c>
      <c r="C11" s="926" t="s">
        <v>208</v>
      </c>
      <c r="D11" s="925" t="s">
        <v>6</v>
      </c>
      <c r="E11" s="927" t="s">
        <v>337</v>
      </c>
      <c r="F11" s="925" t="s">
        <v>5</v>
      </c>
      <c r="G11" s="926" t="s">
        <v>208</v>
      </c>
      <c r="N11" s="4"/>
      <c r="O11" s="4"/>
      <c r="P11" s="6"/>
      <c r="Q11" s="4"/>
      <c r="R11" s="6"/>
    </row>
    <row r="12" spans="1:18" ht="15.75" x14ac:dyDescent="0.25">
      <c r="A12" s="925" t="s">
        <v>6</v>
      </c>
      <c r="B12" s="925" t="s">
        <v>7</v>
      </c>
      <c r="C12" s="926" t="s">
        <v>340</v>
      </c>
      <c r="D12" s="925" t="s">
        <v>7</v>
      </c>
      <c r="E12" s="927" t="s">
        <v>337</v>
      </c>
      <c r="F12" s="925" t="s">
        <v>7</v>
      </c>
      <c r="G12" s="926" t="s">
        <v>340</v>
      </c>
      <c r="N12" s="4"/>
      <c r="O12" s="4"/>
      <c r="P12" s="6"/>
      <c r="Q12" s="4"/>
      <c r="R12" s="6"/>
    </row>
    <row r="13" spans="1:18" ht="15.75" x14ac:dyDescent="0.25">
      <c r="A13" s="925" t="s">
        <v>7</v>
      </c>
      <c r="B13" s="925" t="s">
        <v>7</v>
      </c>
      <c r="C13" s="926" t="s">
        <v>339</v>
      </c>
      <c r="D13" s="925" t="s">
        <v>8</v>
      </c>
      <c r="E13" s="927" t="s">
        <v>338</v>
      </c>
      <c r="F13" s="925" t="s">
        <v>7</v>
      </c>
      <c r="G13" s="926" t="s">
        <v>339</v>
      </c>
      <c r="N13" s="4"/>
      <c r="O13" s="4"/>
      <c r="P13" s="6"/>
      <c r="Q13" s="4"/>
      <c r="R13" s="6"/>
    </row>
    <row r="14" spans="1:18" ht="15.75" x14ac:dyDescent="0.25">
      <c r="A14" s="925" t="s">
        <v>8</v>
      </c>
      <c r="B14" s="925" t="s">
        <v>8</v>
      </c>
      <c r="C14" s="926" t="s">
        <v>208</v>
      </c>
      <c r="D14" s="925" t="s">
        <v>9</v>
      </c>
      <c r="E14" s="927" t="s">
        <v>337</v>
      </c>
      <c r="F14" s="925" t="s">
        <v>8</v>
      </c>
      <c r="G14" s="926" t="s">
        <v>208</v>
      </c>
      <c r="N14" s="4"/>
      <c r="O14" s="4"/>
      <c r="P14" s="6"/>
      <c r="Q14" s="4"/>
      <c r="R14" s="6"/>
    </row>
    <row r="15" spans="1:18" ht="15.75" x14ac:dyDescent="0.25">
      <c r="A15" s="925" t="s">
        <v>9</v>
      </c>
      <c r="B15" s="925" t="s">
        <v>9</v>
      </c>
      <c r="C15" s="926" t="s">
        <v>341</v>
      </c>
      <c r="D15" s="925" t="s">
        <v>10</v>
      </c>
      <c r="E15" s="927" t="s">
        <v>337</v>
      </c>
      <c r="F15" s="925" t="s">
        <v>9</v>
      </c>
      <c r="G15" s="926" t="s">
        <v>341</v>
      </c>
      <c r="N15" s="4"/>
      <c r="O15" s="4"/>
      <c r="P15" s="6"/>
      <c r="Q15" s="4"/>
      <c r="R15" s="6"/>
    </row>
    <row r="16" spans="1:18" ht="15.75" x14ac:dyDescent="0.25">
      <c r="A16" s="925" t="s">
        <v>10</v>
      </c>
      <c r="B16" s="925" t="s">
        <v>10</v>
      </c>
      <c r="C16" s="926" t="s">
        <v>208</v>
      </c>
      <c r="D16" s="925" t="s">
        <v>11</v>
      </c>
      <c r="E16" s="927" t="s">
        <v>335</v>
      </c>
      <c r="F16" s="925" t="s">
        <v>10</v>
      </c>
      <c r="G16" s="926" t="s">
        <v>208</v>
      </c>
      <c r="N16" s="4"/>
      <c r="O16" s="4"/>
      <c r="P16" s="6"/>
      <c r="Q16" s="4"/>
      <c r="R16" s="6"/>
    </row>
    <row r="17" spans="1:18" ht="15.75" x14ac:dyDescent="0.25">
      <c r="A17" s="925" t="s">
        <v>11</v>
      </c>
      <c r="B17" s="925" t="s">
        <v>12</v>
      </c>
      <c r="C17" s="926" t="s">
        <v>340</v>
      </c>
      <c r="D17" s="925" t="s">
        <v>12</v>
      </c>
      <c r="E17" s="927" t="s">
        <v>337</v>
      </c>
      <c r="F17" s="925" t="s">
        <v>12</v>
      </c>
      <c r="G17" s="926" t="s">
        <v>340</v>
      </c>
      <c r="N17" s="4"/>
      <c r="O17" s="4"/>
      <c r="P17" s="6"/>
      <c r="Q17" s="4"/>
      <c r="R17" s="6"/>
    </row>
    <row r="18" spans="1:18" ht="15.75" x14ac:dyDescent="0.25">
      <c r="A18" s="928" t="s">
        <v>12</v>
      </c>
      <c r="B18" s="929" t="s">
        <v>12</v>
      </c>
      <c r="C18" s="930" t="s">
        <v>341</v>
      </c>
      <c r="D18" s="932" t="s">
        <v>511</v>
      </c>
      <c r="E18" s="931" t="s">
        <v>336</v>
      </c>
      <c r="F18" s="929" t="s">
        <v>12</v>
      </c>
      <c r="G18" s="930" t="s">
        <v>341</v>
      </c>
      <c r="N18" s="4"/>
      <c r="O18" s="7"/>
      <c r="P18" s="6"/>
      <c r="Q18" s="7"/>
      <c r="R18" s="6"/>
    </row>
    <row r="19" spans="1:18" ht="15.75" x14ac:dyDescent="0.25">
      <c r="A19" s="5"/>
      <c r="B19" s="701"/>
      <c r="C19" s="707"/>
      <c r="D19" s="703"/>
      <c r="E19" s="707"/>
      <c r="F19" s="703"/>
      <c r="G19" s="5"/>
      <c r="N19" s="4"/>
      <c r="O19" s="7"/>
      <c r="P19" s="6"/>
      <c r="Q19" s="7"/>
      <c r="R19" s="6"/>
    </row>
    <row r="20" spans="1:18" x14ac:dyDescent="0.25">
      <c r="A20" s="5"/>
      <c r="B20" s="5"/>
      <c r="C20" s="5"/>
      <c r="D20" s="5"/>
      <c r="E20" s="5"/>
      <c r="F20" s="5"/>
      <c r="G20" s="5"/>
    </row>
    <row r="21" spans="1:18" ht="49.5" customHeight="1" x14ac:dyDescent="0.25">
      <c r="A21" s="964" t="s">
        <v>332</v>
      </c>
      <c r="B21" s="966" t="s">
        <v>342</v>
      </c>
      <c r="C21" s="966"/>
      <c r="D21" s="967" t="s">
        <v>519</v>
      </c>
      <c r="E21" s="967"/>
      <c r="F21" s="968" t="s">
        <v>343</v>
      </c>
      <c r="G21" s="968"/>
    </row>
    <row r="22" spans="1:18" ht="15.75" customHeight="1" x14ac:dyDescent="0.25">
      <c r="A22" s="965"/>
      <c r="B22" s="964" t="s">
        <v>334</v>
      </c>
      <c r="C22" s="964"/>
      <c r="D22" s="969" t="s">
        <v>334</v>
      </c>
      <c r="E22" s="969"/>
      <c r="F22" s="964" t="s">
        <v>334</v>
      </c>
      <c r="G22" s="964"/>
    </row>
    <row r="23" spans="1:18" ht="15.75" x14ac:dyDescent="0.25">
      <c r="A23" s="922" t="s">
        <v>1</v>
      </c>
      <c r="B23" s="922" t="s">
        <v>2</v>
      </c>
      <c r="C23" s="924" t="s">
        <v>338</v>
      </c>
      <c r="D23" s="922" t="s">
        <v>1</v>
      </c>
      <c r="E23" s="924" t="s">
        <v>211</v>
      </c>
      <c r="F23" s="922" t="s">
        <v>1</v>
      </c>
      <c r="G23" s="923" t="s">
        <v>208</v>
      </c>
    </row>
    <row r="24" spans="1:18" ht="15.75" x14ac:dyDescent="0.25">
      <c r="A24" s="925" t="s">
        <v>2</v>
      </c>
      <c r="B24" s="925" t="s">
        <v>3</v>
      </c>
      <c r="C24" s="927" t="s">
        <v>338</v>
      </c>
      <c r="D24" s="925" t="s">
        <v>2</v>
      </c>
      <c r="E24" s="927" t="s">
        <v>210</v>
      </c>
      <c r="F24" s="925" t="s">
        <v>3</v>
      </c>
      <c r="G24" s="926" t="s">
        <v>373</v>
      </c>
    </row>
    <row r="25" spans="1:18" ht="15.75" x14ac:dyDescent="0.25">
      <c r="A25" s="925" t="s">
        <v>3</v>
      </c>
      <c r="B25" s="925" t="s">
        <v>4</v>
      </c>
      <c r="C25" s="927" t="s">
        <v>336</v>
      </c>
      <c r="D25" s="925" t="s">
        <v>3</v>
      </c>
      <c r="E25" s="927" t="s">
        <v>210</v>
      </c>
      <c r="F25" s="925" t="s">
        <v>3</v>
      </c>
      <c r="G25" s="926" t="s">
        <v>208</v>
      </c>
    </row>
    <row r="26" spans="1:18" ht="15.75" x14ac:dyDescent="0.25">
      <c r="A26" s="925" t="s">
        <v>4</v>
      </c>
      <c r="B26" s="925" t="s">
        <v>5</v>
      </c>
      <c r="C26" s="927" t="s">
        <v>337</v>
      </c>
      <c r="D26" s="925" t="s">
        <v>4</v>
      </c>
      <c r="E26" s="927" t="s">
        <v>209</v>
      </c>
      <c r="F26" s="925" t="s">
        <v>4</v>
      </c>
      <c r="G26" s="926" t="s">
        <v>339</v>
      </c>
    </row>
    <row r="27" spans="1:18" ht="15.75" x14ac:dyDescent="0.25">
      <c r="A27" s="925" t="s">
        <v>5</v>
      </c>
      <c r="B27" s="925" t="s">
        <v>6</v>
      </c>
      <c r="C27" s="927" t="s">
        <v>337</v>
      </c>
      <c r="D27" s="925" t="s">
        <v>5</v>
      </c>
      <c r="E27" s="927" t="s">
        <v>210</v>
      </c>
      <c r="F27" s="925" t="s">
        <v>5</v>
      </c>
      <c r="G27" s="926" t="s">
        <v>208</v>
      </c>
    </row>
    <row r="28" spans="1:18" ht="15.75" x14ac:dyDescent="0.25">
      <c r="A28" s="925" t="s">
        <v>6</v>
      </c>
      <c r="B28" s="925" t="s">
        <v>7</v>
      </c>
      <c r="C28" s="927" t="s">
        <v>337</v>
      </c>
      <c r="D28" s="925" t="s">
        <v>6</v>
      </c>
      <c r="E28" s="927" t="s">
        <v>210</v>
      </c>
      <c r="F28" s="925" t="s">
        <v>7</v>
      </c>
      <c r="G28" s="926" t="s">
        <v>340</v>
      </c>
    </row>
    <row r="29" spans="1:18" ht="15.75" x14ac:dyDescent="0.25">
      <c r="A29" s="925" t="s">
        <v>7</v>
      </c>
      <c r="B29" s="925" t="s">
        <v>8</v>
      </c>
      <c r="C29" s="927" t="s">
        <v>338</v>
      </c>
      <c r="D29" s="925" t="s">
        <v>7</v>
      </c>
      <c r="E29" s="927" t="s">
        <v>209</v>
      </c>
      <c r="F29" s="925" t="s">
        <v>7</v>
      </c>
      <c r="G29" s="926" t="s">
        <v>339</v>
      </c>
    </row>
    <row r="30" spans="1:18" ht="15.75" x14ac:dyDescent="0.25">
      <c r="A30" s="925" t="s">
        <v>8</v>
      </c>
      <c r="B30" s="925" t="s">
        <v>9</v>
      </c>
      <c r="C30" s="927" t="s">
        <v>337</v>
      </c>
      <c r="D30" s="925" t="s">
        <v>8</v>
      </c>
      <c r="E30" s="927" t="s">
        <v>210</v>
      </c>
      <c r="F30" s="925" t="s">
        <v>8</v>
      </c>
      <c r="G30" s="926" t="s">
        <v>208</v>
      </c>
    </row>
    <row r="31" spans="1:18" ht="15.75" x14ac:dyDescent="0.25">
      <c r="A31" s="925" t="s">
        <v>9</v>
      </c>
      <c r="B31" s="925" t="s">
        <v>10</v>
      </c>
      <c r="C31" s="927" t="s">
        <v>337</v>
      </c>
      <c r="D31" s="925" t="s">
        <v>9</v>
      </c>
      <c r="E31" s="927" t="s">
        <v>210</v>
      </c>
      <c r="F31" s="925" t="s">
        <v>9</v>
      </c>
      <c r="G31" s="926" t="s">
        <v>341</v>
      </c>
    </row>
    <row r="32" spans="1:18" ht="15.75" x14ac:dyDescent="0.25">
      <c r="A32" s="925" t="s">
        <v>10</v>
      </c>
      <c r="B32" s="925" t="s">
        <v>11</v>
      </c>
      <c r="C32" s="927" t="s">
        <v>335</v>
      </c>
      <c r="D32" s="925" t="s">
        <v>10</v>
      </c>
      <c r="E32" s="927" t="s">
        <v>211</v>
      </c>
      <c r="F32" s="925" t="s">
        <v>10</v>
      </c>
      <c r="G32" s="926" t="s">
        <v>208</v>
      </c>
    </row>
    <row r="33" spans="1:10" ht="15.75" x14ac:dyDescent="0.25">
      <c r="A33" s="925" t="s">
        <v>11</v>
      </c>
      <c r="B33" s="925" t="s">
        <v>12</v>
      </c>
      <c r="C33" s="927" t="s">
        <v>337</v>
      </c>
      <c r="D33" s="925" t="s">
        <v>11</v>
      </c>
      <c r="E33" s="927" t="s">
        <v>210</v>
      </c>
      <c r="F33" s="925" t="s">
        <v>12</v>
      </c>
      <c r="G33" s="926" t="s">
        <v>340</v>
      </c>
    </row>
    <row r="34" spans="1:10" ht="15.75" x14ac:dyDescent="0.25">
      <c r="A34" s="928" t="s">
        <v>12</v>
      </c>
      <c r="B34" s="932" t="s">
        <v>511</v>
      </c>
      <c r="C34" s="931" t="s">
        <v>336</v>
      </c>
      <c r="D34" s="928" t="s">
        <v>12</v>
      </c>
      <c r="E34" s="931" t="s">
        <v>210</v>
      </c>
      <c r="F34" s="929" t="s">
        <v>12</v>
      </c>
      <c r="G34" s="930" t="s">
        <v>341</v>
      </c>
    </row>
    <row r="35" spans="1:10" x14ac:dyDescent="0.25">
      <c r="A35" s="5"/>
      <c r="B35" s="5"/>
      <c r="C35" s="5"/>
      <c r="D35" s="5"/>
      <c r="E35" s="5"/>
      <c r="F35" s="5"/>
      <c r="G35" s="5"/>
    </row>
    <row r="36" spans="1:10" x14ac:dyDescent="0.25">
      <c r="A36" s="5"/>
      <c r="B36" s="5"/>
      <c r="C36" s="5"/>
      <c r="D36" s="5"/>
      <c r="E36" s="5"/>
      <c r="F36" s="5"/>
      <c r="G36" s="5"/>
    </row>
    <row r="37" spans="1:10" ht="49.5" customHeight="1" x14ac:dyDescent="0.25">
      <c r="A37" s="958" t="s">
        <v>332</v>
      </c>
      <c r="B37" s="960" t="s">
        <v>344</v>
      </c>
      <c r="C37" s="961"/>
      <c r="D37" s="956" t="s">
        <v>376</v>
      </c>
      <c r="E37" s="956"/>
      <c r="F37" s="956" t="s">
        <v>375</v>
      </c>
      <c r="G37" s="957"/>
      <c r="I37" s="951"/>
      <c r="J37" s="952"/>
    </row>
    <row r="38" spans="1:10" ht="15" customHeight="1" x14ac:dyDescent="0.25">
      <c r="A38" s="959"/>
      <c r="B38" s="954" t="s">
        <v>334</v>
      </c>
      <c r="C38" s="955"/>
      <c r="D38" s="958" t="s">
        <v>334</v>
      </c>
      <c r="E38" s="958"/>
      <c r="F38" s="958" t="s">
        <v>334</v>
      </c>
      <c r="G38" s="958"/>
      <c r="I38" s="953"/>
      <c r="J38" s="953"/>
    </row>
    <row r="39" spans="1:10" ht="15.75" x14ac:dyDescent="0.25">
      <c r="A39" s="922" t="s">
        <v>1</v>
      </c>
      <c r="B39" s="922" t="s">
        <v>1</v>
      </c>
      <c r="C39" s="923" t="s">
        <v>208</v>
      </c>
      <c r="D39" s="925" t="s">
        <v>2</v>
      </c>
      <c r="E39" s="927" t="s">
        <v>210</v>
      </c>
      <c r="F39" s="922" t="s">
        <v>2</v>
      </c>
      <c r="G39" s="924" t="s">
        <v>338</v>
      </c>
      <c r="I39" s="701"/>
      <c r="J39" s="702"/>
    </row>
    <row r="40" spans="1:10" ht="15.75" x14ac:dyDescent="0.25">
      <c r="A40" s="925" t="s">
        <v>2</v>
      </c>
      <c r="B40" s="925" t="s">
        <v>3</v>
      </c>
      <c r="C40" s="926" t="s">
        <v>373</v>
      </c>
      <c r="D40" s="925" t="s">
        <v>3</v>
      </c>
      <c r="E40" s="927" t="s">
        <v>210</v>
      </c>
      <c r="F40" s="925" t="s">
        <v>3</v>
      </c>
      <c r="G40" s="927" t="s">
        <v>338</v>
      </c>
      <c r="I40" s="701"/>
      <c r="J40" s="702"/>
    </row>
    <row r="41" spans="1:10" ht="15.75" x14ac:dyDescent="0.25">
      <c r="A41" s="925" t="s">
        <v>3</v>
      </c>
      <c r="B41" s="925" t="s">
        <v>3</v>
      </c>
      <c r="C41" s="926" t="s">
        <v>208</v>
      </c>
      <c r="D41" s="925" t="s">
        <v>4</v>
      </c>
      <c r="E41" s="927" t="s">
        <v>209</v>
      </c>
      <c r="F41" s="925" t="s">
        <v>4</v>
      </c>
      <c r="G41" s="927" t="s">
        <v>336</v>
      </c>
      <c r="I41" s="701"/>
      <c r="J41" s="702"/>
    </row>
    <row r="42" spans="1:10" ht="15.75" x14ac:dyDescent="0.25">
      <c r="A42" s="925" t="s">
        <v>4</v>
      </c>
      <c r="B42" s="925" t="s">
        <v>4</v>
      </c>
      <c r="C42" s="926" t="s">
        <v>339</v>
      </c>
      <c r="D42" s="925" t="s">
        <v>5</v>
      </c>
      <c r="E42" s="927" t="s">
        <v>210</v>
      </c>
      <c r="F42" s="925" t="s">
        <v>5</v>
      </c>
      <c r="G42" s="927" t="s">
        <v>337</v>
      </c>
      <c r="I42" s="701"/>
      <c r="J42" s="702"/>
    </row>
    <row r="43" spans="1:10" ht="15.75" x14ac:dyDescent="0.25">
      <c r="A43" s="925" t="s">
        <v>5</v>
      </c>
      <c r="B43" s="925" t="s">
        <v>5</v>
      </c>
      <c r="C43" s="926" t="s">
        <v>208</v>
      </c>
      <c r="D43" s="925" t="s">
        <v>6</v>
      </c>
      <c r="E43" s="927" t="s">
        <v>210</v>
      </c>
      <c r="F43" s="925" t="s">
        <v>6</v>
      </c>
      <c r="G43" s="927" t="s">
        <v>337</v>
      </c>
      <c r="I43" s="701"/>
      <c r="J43" s="702"/>
    </row>
    <row r="44" spans="1:10" ht="15.75" x14ac:dyDescent="0.25">
      <c r="A44" s="925" t="s">
        <v>6</v>
      </c>
      <c r="B44" s="925" t="s">
        <v>7</v>
      </c>
      <c r="C44" s="926" t="s">
        <v>340</v>
      </c>
      <c r="D44" s="925" t="s">
        <v>7</v>
      </c>
      <c r="E44" s="927" t="s">
        <v>209</v>
      </c>
      <c r="F44" s="925" t="s">
        <v>7</v>
      </c>
      <c r="G44" s="927" t="s">
        <v>337</v>
      </c>
      <c r="I44" s="701"/>
      <c r="J44" s="702"/>
    </row>
    <row r="45" spans="1:10" ht="15.75" x14ac:dyDescent="0.25">
      <c r="A45" s="925" t="s">
        <v>7</v>
      </c>
      <c r="B45" s="925" t="s">
        <v>7</v>
      </c>
      <c r="C45" s="926" t="s">
        <v>339</v>
      </c>
      <c r="D45" s="925" t="s">
        <v>8</v>
      </c>
      <c r="E45" s="927" t="s">
        <v>210</v>
      </c>
      <c r="F45" s="925" t="s">
        <v>8</v>
      </c>
      <c r="G45" s="927" t="s">
        <v>338</v>
      </c>
      <c r="I45" s="701"/>
      <c r="J45" s="702"/>
    </row>
    <row r="46" spans="1:10" ht="15.75" x14ac:dyDescent="0.25">
      <c r="A46" s="925" t="s">
        <v>8</v>
      </c>
      <c r="B46" s="925" t="s">
        <v>8</v>
      </c>
      <c r="C46" s="926" t="s">
        <v>208</v>
      </c>
      <c r="D46" s="925" t="s">
        <v>9</v>
      </c>
      <c r="E46" s="927" t="s">
        <v>210</v>
      </c>
      <c r="F46" s="925" t="s">
        <v>9</v>
      </c>
      <c r="G46" s="927" t="s">
        <v>337</v>
      </c>
      <c r="I46" s="701"/>
      <c r="J46" s="702"/>
    </row>
    <row r="47" spans="1:10" ht="15.75" x14ac:dyDescent="0.25">
      <c r="A47" s="925" t="s">
        <v>9</v>
      </c>
      <c r="B47" s="925" t="s">
        <v>10</v>
      </c>
      <c r="C47" s="926" t="s">
        <v>341</v>
      </c>
      <c r="D47" s="925" t="s">
        <v>10</v>
      </c>
      <c r="E47" s="927" t="s">
        <v>211</v>
      </c>
      <c r="F47" s="925" t="s">
        <v>10</v>
      </c>
      <c r="G47" s="927" t="s">
        <v>337</v>
      </c>
      <c r="I47" s="701"/>
      <c r="J47" s="703"/>
    </row>
    <row r="48" spans="1:10" ht="15.75" x14ac:dyDescent="0.25">
      <c r="A48" s="925" t="s">
        <v>10</v>
      </c>
      <c r="B48" s="925" t="s">
        <v>10</v>
      </c>
      <c r="C48" s="926" t="s">
        <v>208</v>
      </c>
      <c r="D48" s="925" t="s">
        <v>11</v>
      </c>
      <c r="E48" s="927" t="s">
        <v>210</v>
      </c>
      <c r="F48" s="925" t="s">
        <v>11</v>
      </c>
      <c r="G48" s="927" t="s">
        <v>335</v>
      </c>
      <c r="I48" s="701"/>
      <c r="J48" s="702"/>
    </row>
    <row r="49" spans="1:10" ht="15.75" x14ac:dyDescent="0.25">
      <c r="A49" s="925" t="s">
        <v>11</v>
      </c>
      <c r="B49" s="925" t="s">
        <v>12</v>
      </c>
      <c r="C49" s="926" t="s">
        <v>340</v>
      </c>
      <c r="D49" s="925" t="s">
        <v>12</v>
      </c>
      <c r="E49" s="927" t="s">
        <v>210</v>
      </c>
      <c r="F49" s="925" t="s">
        <v>12</v>
      </c>
      <c r="G49" s="927" t="s">
        <v>337</v>
      </c>
      <c r="I49" s="701"/>
      <c r="J49" s="702"/>
    </row>
    <row r="50" spans="1:10" ht="15.75" x14ac:dyDescent="0.25">
      <c r="A50" s="928" t="s">
        <v>12</v>
      </c>
      <c r="B50" s="929" t="s">
        <v>12</v>
      </c>
      <c r="C50" s="930" t="s">
        <v>341</v>
      </c>
      <c r="D50" s="932" t="s">
        <v>511</v>
      </c>
      <c r="E50" s="931" t="s">
        <v>210</v>
      </c>
      <c r="F50" s="932" t="s">
        <v>511</v>
      </c>
      <c r="G50" s="931" t="s">
        <v>336</v>
      </c>
      <c r="I50" s="704"/>
      <c r="J50" s="702"/>
    </row>
  </sheetData>
  <mergeCells count="24">
    <mergeCell ref="A1:G1"/>
    <mergeCell ref="A2:G2"/>
    <mergeCell ref="F38:G38"/>
    <mergeCell ref="A21:A22"/>
    <mergeCell ref="B21:C21"/>
    <mergeCell ref="D21:E21"/>
    <mergeCell ref="F21:G21"/>
    <mergeCell ref="B22:C22"/>
    <mergeCell ref="D22:E22"/>
    <mergeCell ref="F22:G22"/>
    <mergeCell ref="A37:A38"/>
    <mergeCell ref="B37:C37"/>
    <mergeCell ref="D37:E37"/>
    <mergeCell ref="F37:G37"/>
    <mergeCell ref="B38:C38"/>
    <mergeCell ref="D38:E38"/>
    <mergeCell ref="I37:J37"/>
    <mergeCell ref="I38:J38"/>
    <mergeCell ref="B5:C5"/>
    <mergeCell ref="D5:E5"/>
    <mergeCell ref="F5:G5"/>
    <mergeCell ref="F6:G6"/>
    <mergeCell ref="B6:C6"/>
    <mergeCell ref="D6:E6"/>
  </mergeCells>
  <printOptions horizontalCentered="1"/>
  <pageMargins left="0.51181102362204722" right="0.47244094488188981" top="0.57999999999999996" bottom="0.43" header="0.17" footer="0.31"/>
  <pageSetup scale="8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T31"/>
  <sheetViews>
    <sheetView workbookViewId="0">
      <selection activeCell="B1" sqref="B1:J1"/>
    </sheetView>
  </sheetViews>
  <sheetFormatPr baseColWidth="10" defaultRowHeight="15" x14ac:dyDescent="0.25"/>
  <cols>
    <col min="1" max="1" width="3.5703125" customWidth="1"/>
    <col min="2" max="2" width="21.28515625" customWidth="1"/>
    <col min="3" max="3" width="15.28515625" customWidth="1"/>
    <col min="4" max="4" width="16.5703125" bestFit="1" customWidth="1"/>
    <col min="5" max="5" width="14.7109375" customWidth="1"/>
    <col min="6" max="6" width="15.28515625" bestFit="1" customWidth="1"/>
    <col min="7" max="7" width="14" customWidth="1"/>
    <col min="8" max="10" width="15.5703125" customWidth="1"/>
    <col min="11" max="11" width="14.85546875" customWidth="1"/>
    <col min="12" max="13" width="15.42578125" style="9" customWidth="1"/>
    <col min="14" max="14" width="15.85546875" customWidth="1"/>
    <col min="15" max="15" width="14.7109375" customWidth="1"/>
    <col min="16" max="16" width="15.140625" customWidth="1"/>
  </cols>
  <sheetData>
    <row r="1" spans="2:20" x14ac:dyDescent="0.25">
      <c r="B1" s="1050" t="s">
        <v>460</v>
      </c>
      <c r="C1" s="1050"/>
      <c r="D1" s="1050"/>
      <c r="E1" s="1050"/>
      <c r="F1" s="1050"/>
      <c r="G1" s="1050"/>
      <c r="H1" s="1050"/>
      <c r="I1" s="1050"/>
      <c r="J1" s="1050"/>
      <c r="K1" s="8"/>
      <c r="N1" s="185"/>
    </row>
    <row r="2" spans="2:20" x14ac:dyDescent="0.25">
      <c r="B2" s="1130" t="s">
        <v>276</v>
      </c>
      <c r="C2" s="1130"/>
      <c r="D2" s="1130"/>
      <c r="E2" s="1130"/>
      <c r="F2" s="1130"/>
      <c r="G2" s="1130"/>
      <c r="H2" s="1130"/>
      <c r="I2" s="1130"/>
      <c r="J2" s="1130"/>
      <c r="K2" s="8"/>
      <c r="L2" s="76"/>
      <c r="M2" s="76"/>
    </row>
    <row r="3" spans="2:20" ht="15.75" thickBot="1" x14ac:dyDescent="0.3">
      <c r="K3" s="186"/>
      <c r="L3" s="186"/>
      <c r="M3" s="186"/>
      <c r="N3" s="186"/>
    </row>
    <row r="4" spans="2:20" ht="15" customHeight="1" x14ac:dyDescent="0.25">
      <c r="B4" s="986" t="s">
        <v>83</v>
      </c>
      <c r="C4" s="342" t="s">
        <v>139</v>
      </c>
      <c r="D4" s="1126" t="s">
        <v>238</v>
      </c>
      <c r="E4" s="444" t="s">
        <v>140</v>
      </c>
      <c r="F4" s="1126" t="s">
        <v>239</v>
      </c>
      <c r="G4" s="444" t="s">
        <v>29</v>
      </c>
      <c r="H4" s="444" t="s">
        <v>29</v>
      </c>
      <c r="I4" s="1126" t="s">
        <v>240</v>
      </c>
      <c r="J4" s="1128" t="s">
        <v>241</v>
      </c>
      <c r="K4" s="1124"/>
      <c r="L4" s="186"/>
      <c r="M4" s="186"/>
      <c r="N4" s="186"/>
      <c r="O4" s="186"/>
      <c r="P4" s="148"/>
      <c r="Q4" s="148"/>
      <c r="R4" s="156"/>
      <c r="S4" s="156"/>
      <c r="T4" s="156"/>
    </row>
    <row r="5" spans="2:20" x14ac:dyDescent="0.25">
      <c r="B5" s="987"/>
      <c r="C5" s="343" t="s">
        <v>33</v>
      </c>
      <c r="D5" s="1127"/>
      <c r="E5" s="341" t="s">
        <v>33</v>
      </c>
      <c r="F5" s="1127"/>
      <c r="G5" s="341" t="s">
        <v>33</v>
      </c>
      <c r="H5" s="341" t="s">
        <v>142</v>
      </c>
      <c r="I5" s="1127"/>
      <c r="J5" s="1129"/>
      <c r="K5" s="1124"/>
      <c r="L5" s="186"/>
      <c r="M5" s="186"/>
      <c r="N5" s="186"/>
      <c r="O5" s="186"/>
      <c r="P5" s="148"/>
      <c r="Q5" s="148"/>
      <c r="R5" s="156"/>
      <c r="S5" s="156"/>
      <c r="T5" s="156"/>
    </row>
    <row r="6" spans="2:20" x14ac:dyDescent="0.25">
      <c r="B6" s="987"/>
      <c r="C6" s="463">
        <v>0.6</v>
      </c>
      <c r="D6" s="445" t="s">
        <v>44</v>
      </c>
      <c r="E6" s="445">
        <v>0.3</v>
      </c>
      <c r="F6" s="445" t="s">
        <v>44</v>
      </c>
      <c r="G6" s="445">
        <v>0.1</v>
      </c>
      <c r="H6" s="445"/>
      <c r="I6" s="445" t="s">
        <v>44</v>
      </c>
      <c r="J6" s="1129"/>
      <c r="K6" s="186"/>
      <c r="L6" s="186"/>
      <c r="M6" s="186"/>
      <c r="N6" s="186"/>
      <c r="O6" s="186"/>
      <c r="P6" s="148"/>
      <c r="Q6" s="148"/>
      <c r="R6" s="156"/>
      <c r="S6" s="156"/>
      <c r="T6" s="156"/>
    </row>
    <row r="7" spans="2:20" ht="15.75" thickBot="1" x14ac:dyDescent="0.3">
      <c r="B7" s="988"/>
      <c r="C7" s="541" t="s">
        <v>70</v>
      </c>
      <c r="D7" s="542" t="s">
        <v>97</v>
      </c>
      <c r="E7" s="542" t="s">
        <v>71</v>
      </c>
      <c r="F7" s="542" t="s">
        <v>98</v>
      </c>
      <c r="G7" s="542" t="s">
        <v>73</v>
      </c>
      <c r="H7" s="542" t="s">
        <v>301</v>
      </c>
      <c r="I7" s="542" t="s">
        <v>74</v>
      </c>
      <c r="J7" s="543" t="s">
        <v>302</v>
      </c>
      <c r="K7" s="161"/>
      <c r="L7" s="161"/>
      <c r="M7" s="161"/>
      <c r="N7" s="161"/>
      <c r="O7" s="186"/>
      <c r="P7" s="161"/>
      <c r="Q7" s="161"/>
      <c r="R7" s="156"/>
      <c r="S7" s="156"/>
      <c r="T7" s="156"/>
    </row>
    <row r="8" spans="2:20" ht="22.5" customHeight="1" x14ac:dyDescent="0.25">
      <c r="B8" s="151" t="s">
        <v>45</v>
      </c>
      <c r="C8" s="464">
        <f>FGP!E8</f>
        <v>3.0136241193535018</v>
      </c>
      <c r="D8" s="411">
        <f t="shared" ref="D8:D27" si="0">C8*$D$28/100</f>
        <v>47439.772178110754</v>
      </c>
      <c r="E8" s="446">
        <f>FGP!K8</f>
        <v>4.5362651544424901</v>
      </c>
      <c r="F8" s="411">
        <f t="shared" ref="F8:F27" si="1">E8*$F$28/100</f>
        <v>35704.417164078812</v>
      </c>
      <c r="G8" s="446">
        <f>FGP!Q8</f>
        <v>4.9985851648979605</v>
      </c>
      <c r="H8" s="446">
        <f>G8*10%</f>
        <v>0.49985851648979607</v>
      </c>
      <c r="I8" s="411">
        <f>G8*$I$28/100</f>
        <v>13114.428123975536</v>
      </c>
      <c r="J8" s="447">
        <f t="shared" ref="J8:J27" si="2">D8+F8+I8</f>
        <v>96258.617466165102</v>
      </c>
      <c r="K8" s="145"/>
      <c r="L8" s="163"/>
      <c r="M8" s="121"/>
      <c r="N8" s="121"/>
      <c r="O8" s="163"/>
      <c r="P8" s="164"/>
      <c r="Q8" s="165"/>
      <c r="R8" s="166"/>
      <c r="S8" s="156"/>
      <c r="T8" s="156"/>
    </row>
    <row r="9" spans="2:20" ht="22.5" customHeight="1" x14ac:dyDescent="0.25">
      <c r="B9" s="151" t="s">
        <v>46</v>
      </c>
      <c r="C9" s="464">
        <f>FGP!E9</f>
        <v>1.2459367229589724</v>
      </c>
      <c r="D9" s="411">
        <f t="shared" si="0"/>
        <v>19613.247022390926</v>
      </c>
      <c r="E9" s="446">
        <f>FGP!K9</f>
        <v>5.3174312791477849</v>
      </c>
      <c r="F9" s="411">
        <f t="shared" si="1"/>
        <v>41852.885174951174</v>
      </c>
      <c r="G9" s="446">
        <f>FGP!Q9</f>
        <v>6.7615009524107856</v>
      </c>
      <c r="H9" s="446">
        <f t="shared" ref="H9:H28" si="3">G9*10%</f>
        <v>0.67615009524107861</v>
      </c>
      <c r="I9" s="411">
        <f t="shared" ref="I9:I27" si="4">G9*$I$28/100</f>
        <v>17739.663389809128</v>
      </c>
      <c r="J9" s="447">
        <f t="shared" si="2"/>
        <v>79205.795587151224</v>
      </c>
      <c r="K9" s="145"/>
      <c r="L9" s="163"/>
      <c r="M9" s="203"/>
      <c r="N9" s="121"/>
      <c r="O9" s="163"/>
      <c r="P9" s="164"/>
      <c r="Q9" s="165"/>
      <c r="R9" s="166"/>
      <c r="S9" s="156"/>
      <c r="T9" s="156"/>
    </row>
    <row r="10" spans="2:20" ht="22.5" customHeight="1" x14ac:dyDescent="0.25">
      <c r="B10" s="151" t="s">
        <v>47</v>
      </c>
      <c r="C10" s="464">
        <f>FGP!E10</f>
        <v>0.93374430169912959</v>
      </c>
      <c r="D10" s="411">
        <f t="shared" si="0"/>
        <v>14698.786308731349</v>
      </c>
      <c r="E10" s="446">
        <f>FGP!K10</f>
        <v>5.4450786975178707</v>
      </c>
      <c r="F10" s="411">
        <f t="shared" si="1"/>
        <v>42857.583207415148</v>
      </c>
      <c r="G10" s="446">
        <f>FGP!Q10</f>
        <v>7.2208048368433877</v>
      </c>
      <c r="H10" s="446">
        <f t="shared" si="3"/>
        <v>0.72208048368433886</v>
      </c>
      <c r="I10" s="411">
        <f t="shared" si="4"/>
        <v>18944.705932997862</v>
      </c>
      <c r="J10" s="447">
        <f t="shared" si="2"/>
        <v>76501.075449144366</v>
      </c>
      <c r="K10" s="145"/>
      <c r="L10" s="163"/>
      <c r="M10" s="121"/>
      <c r="N10" s="121"/>
      <c r="O10" s="163"/>
      <c r="P10" s="164"/>
      <c r="Q10" s="165"/>
      <c r="R10" s="166"/>
      <c r="S10" s="156"/>
      <c r="T10" s="156"/>
    </row>
    <row r="11" spans="2:20" ht="22.5" customHeight="1" x14ac:dyDescent="0.25">
      <c r="B11" s="151" t="s">
        <v>48</v>
      </c>
      <c r="C11" s="464">
        <f>FGP!E11</f>
        <v>15.187266887691669</v>
      </c>
      <c r="D11" s="411">
        <f t="shared" si="0"/>
        <v>239074.43417821435</v>
      </c>
      <c r="E11" s="446">
        <f>FGP!K11</f>
        <v>4.5753856548579632</v>
      </c>
      <c r="F11" s="411">
        <f t="shared" si="1"/>
        <v>36012.330087804992</v>
      </c>
      <c r="G11" s="446">
        <f>FGP!Q11</f>
        <v>1.5108080990455499</v>
      </c>
      <c r="H11" s="446">
        <f t="shared" si="3"/>
        <v>0.151080809904555</v>
      </c>
      <c r="I11" s="411">
        <f t="shared" si="4"/>
        <v>3963.7984690528806</v>
      </c>
      <c r="J11" s="447">
        <f t="shared" si="2"/>
        <v>279050.56273507222</v>
      </c>
      <c r="K11" s="145"/>
      <c r="L11" s="163"/>
      <c r="M11" s="121"/>
      <c r="N11" s="121"/>
      <c r="O11" s="163"/>
      <c r="P11" s="164"/>
      <c r="Q11" s="165"/>
      <c r="R11" s="166"/>
      <c r="S11" s="156"/>
      <c r="T11" s="156"/>
    </row>
    <row r="12" spans="2:20" ht="22.5" customHeight="1" x14ac:dyDescent="0.25">
      <c r="B12" s="151" t="s">
        <v>49</v>
      </c>
      <c r="C12" s="464">
        <f>FGP!E12</f>
        <v>6.2678071902196431</v>
      </c>
      <c r="D12" s="411">
        <f t="shared" si="0"/>
        <v>98666.367597340562</v>
      </c>
      <c r="E12" s="446">
        <f>FGP!K12</f>
        <v>2.7314485526770396</v>
      </c>
      <c r="F12" s="411">
        <f t="shared" si="1"/>
        <v>21498.914914947512</v>
      </c>
      <c r="G12" s="446">
        <f>FGP!Q12</f>
        <v>3.4585972146392314</v>
      </c>
      <c r="H12" s="446">
        <f t="shared" si="3"/>
        <v>0.34585972146392319</v>
      </c>
      <c r="I12" s="411">
        <f t="shared" si="4"/>
        <v>9074.0725795144281</v>
      </c>
      <c r="J12" s="447">
        <f t="shared" si="2"/>
        <v>129239.3550918025</v>
      </c>
      <c r="K12" s="145"/>
      <c r="L12" s="163"/>
      <c r="M12" s="121"/>
      <c r="N12" s="121"/>
      <c r="O12" s="163"/>
      <c r="P12" s="164"/>
      <c r="Q12" s="165"/>
      <c r="R12" s="166"/>
      <c r="S12" s="156"/>
      <c r="T12" s="156"/>
    </row>
    <row r="13" spans="2:20" ht="22.5" customHeight="1" x14ac:dyDescent="0.25">
      <c r="B13" s="151" t="s">
        <v>50</v>
      </c>
      <c r="C13" s="464">
        <f>FGP!E13</f>
        <v>3.8487813406547868</v>
      </c>
      <c r="D13" s="411">
        <f t="shared" si="0"/>
        <v>60586.623524633826</v>
      </c>
      <c r="E13" s="446">
        <f>FGP!K13</f>
        <v>6.2651003657700279</v>
      </c>
      <c r="F13" s="411">
        <f t="shared" si="1"/>
        <v>49311.878697215987</v>
      </c>
      <c r="G13" s="446">
        <f>FGP!Q13</f>
        <v>3.7817013243216553</v>
      </c>
      <c r="H13" s="446">
        <f t="shared" si="3"/>
        <v>0.37817013243216557</v>
      </c>
      <c r="I13" s="411">
        <f t="shared" si="4"/>
        <v>9921.7775766699087</v>
      </c>
      <c r="J13" s="447">
        <f t="shared" si="2"/>
        <v>119820.27979851971</v>
      </c>
      <c r="K13" s="145"/>
      <c r="L13" s="163"/>
      <c r="M13" s="121"/>
      <c r="N13" s="121"/>
      <c r="O13" s="163"/>
      <c r="P13" s="164"/>
      <c r="Q13" s="165"/>
      <c r="R13" s="166"/>
      <c r="S13" s="156"/>
      <c r="T13" s="156"/>
    </row>
    <row r="14" spans="2:20" ht="22.5" customHeight="1" x14ac:dyDescent="0.25">
      <c r="B14" s="151" t="s">
        <v>51</v>
      </c>
      <c r="C14" s="464">
        <f>FGP!E14</f>
        <v>0.98991789266473262</v>
      </c>
      <c r="D14" s="411">
        <f t="shared" si="0"/>
        <v>15583.057953864807</v>
      </c>
      <c r="E14" s="446">
        <f>FGP!K14</f>
        <v>6.1681100014387802</v>
      </c>
      <c r="F14" s="411">
        <f t="shared" si="1"/>
        <v>48548.478783172723</v>
      </c>
      <c r="G14" s="446">
        <f>FGP!Q14</f>
        <v>6.4804826539158045</v>
      </c>
      <c r="H14" s="446">
        <f t="shared" si="3"/>
        <v>0.64804826539158045</v>
      </c>
      <c r="I14" s="411">
        <f t="shared" si="4"/>
        <v>17002.375906339879</v>
      </c>
      <c r="J14" s="447">
        <f t="shared" si="2"/>
        <v>81133.912643377407</v>
      </c>
      <c r="K14" s="145"/>
      <c r="L14" s="163"/>
      <c r="M14" s="121"/>
      <c r="N14" s="121"/>
      <c r="O14" s="163"/>
      <c r="P14" s="164"/>
      <c r="Q14" s="165"/>
      <c r="R14" s="166"/>
      <c r="S14" s="156"/>
      <c r="T14" s="156"/>
    </row>
    <row r="15" spans="2:20" ht="22.5" customHeight="1" x14ac:dyDescent="0.25">
      <c r="B15" s="151" t="s">
        <v>52</v>
      </c>
      <c r="C15" s="464">
        <f>FGP!E15</f>
        <v>2.3715130283878989</v>
      </c>
      <c r="D15" s="411">
        <f t="shared" si="0"/>
        <v>37331.808257586672</v>
      </c>
      <c r="E15" s="446">
        <f>FGP!K15</f>
        <v>5.3238324825954564</v>
      </c>
      <c r="F15" s="411">
        <f t="shared" si="1"/>
        <v>41903.268305228296</v>
      </c>
      <c r="G15" s="446">
        <f>FGP!Q15</f>
        <v>5.2451935357677009</v>
      </c>
      <c r="H15" s="446">
        <f t="shared" si="3"/>
        <v>0.52451935357677015</v>
      </c>
      <c r="I15" s="411">
        <f t="shared" si="4"/>
        <v>13761.43675698898</v>
      </c>
      <c r="J15" s="447">
        <f t="shared" si="2"/>
        <v>92996.513319803955</v>
      </c>
      <c r="K15" s="145"/>
      <c r="L15" s="163"/>
      <c r="M15" s="121"/>
      <c r="N15" s="121"/>
      <c r="O15" s="163"/>
      <c r="P15" s="164"/>
      <c r="Q15" s="165"/>
      <c r="R15" s="166"/>
      <c r="S15" s="156"/>
      <c r="T15" s="156"/>
    </row>
    <row r="16" spans="2:20" ht="22.5" customHeight="1" x14ac:dyDescent="0.25">
      <c r="B16" s="151" t="s">
        <v>53</v>
      </c>
      <c r="C16" s="464">
        <f>FGP!E16</f>
        <v>1.563876010153336</v>
      </c>
      <c r="D16" s="411">
        <f t="shared" si="0"/>
        <v>24618.17356718086</v>
      </c>
      <c r="E16" s="446">
        <f>FGP!K16</f>
        <v>4.3400693693802852</v>
      </c>
      <c r="F16" s="411">
        <f t="shared" si="1"/>
        <v>34160.182883850575</v>
      </c>
      <c r="G16" s="446">
        <f>FGP!Q16</f>
        <v>7.0706861587662333</v>
      </c>
      <c r="H16" s="446">
        <f t="shared" si="3"/>
        <v>0.7070686158766234</v>
      </c>
      <c r="I16" s="411">
        <f t="shared" si="4"/>
        <v>18550.850362118686</v>
      </c>
      <c r="J16" s="447">
        <f t="shared" si="2"/>
        <v>77329.206813150115</v>
      </c>
      <c r="K16" s="145"/>
      <c r="L16" s="163"/>
      <c r="M16" s="121"/>
      <c r="N16" s="121"/>
      <c r="O16" s="163"/>
      <c r="P16" s="164"/>
      <c r="Q16" s="165"/>
      <c r="R16" s="166"/>
      <c r="S16" s="156"/>
      <c r="T16" s="156"/>
    </row>
    <row r="17" spans="2:20" ht="22.5" customHeight="1" x14ac:dyDescent="0.25">
      <c r="B17" s="151" t="s">
        <v>54</v>
      </c>
      <c r="C17" s="464">
        <f>FGP!E17</f>
        <v>1.1104401937422297</v>
      </c>
      <c r="D17" s="411">
        <f t="shared" si="0"/>
        <v>17480.292074331261</v>
      </c>
      <c r="E17" s="446">
        <f>FGP!K17</f>
        <v>6.0794692522642091</v>
      </c>
      <c r="F17" s="411">
        <f t="shared" si="1"/>
        <v>47850.797722098519</v>
      </c>
      <c r="G17" s="446">
        <f>FGP!Q17</f>
        <v>6.3614936271283176</v>
      </c>
      <c r="H17" s="446">
        <f t="shared" si="3"/>
        <v>0.63614936271283185</v>
      </c>
      <c r="I17" s="411">
        <f t="shared" si="4"/>
        <v>16690.192960992754</v>
      </c>
      <c r="J17" s="447">
        <f t="shared" si="2"/>
        <v>82021.282757422538</v>
      </c>
      <c r="K17" s="145"/>
      <c r="L17" s="163"/>
      <c r="M17" s="121"/>
      <c r="N17" s="121"/>
      <c r="O17" s="163"/>
      <c r="P17" s="164"/>
      <c r="Q17" s="165"/>
      <c r="R17" s="166"/>
      <c r="S17" s="156"/>
      <c r="T17" s="156"/>
    </row>
    <row r="18" spans="2:20" ht="22.5" customHeight="1" x14ac:dyDescent="0.25">
      <c r="B18" s="151" t="s">
        <v>55</v>
      </c>
      <c r="C18" s="464">
        <f>FGP!E18</f>
        <v>2.7169725186489848</v>
      </c>
      <c r="D18" s="411">
        <f t="shared" si="0"/>
        <v>42769.951458493873</v>
      </c>
      <c r="E18" s="446">
        <f>FGP!K18</f>
        <v>4.6837804530279792</v>
      </c>
      <c r="F18" s="411">
        <f t="shared" si="1"/>
        <v>36865.492978534203</v>
      </c>
      <c r="G18" s="446">
        <f>FGP!Q18</f>
        <v>5.2188232806558297</v>
      </c>
      <c r="H18" s="446">
        <f t="shared" si="3"/>
        <v>0.52188232806558299</v>
      </c>
      <c r="I18" s="411">
        <f t="shared" si="4"/>
        <v>13692.251016651075</v>
      </c>
      <c r="J18" s="447">
        <f t="shared" si="2"/>
        <v>93327.69545367916</v>
      </c>
      <c r="K18" s="145"/>
      <c r="L18" s="163"/>
      <c r="M18" s="121"/>
      <c r="N18" s="121"/>
      <c r="O18" s="163"/>
      <c r="P18" s="164"/>
      <c r="Q18" s="165"/>
      <c r="R18" s="166"/>
      <c r="S18" s="156"/>
      <c r="T18" s="156"/>
    </row>
    <row r="19" spans="2:20" ht="22.5" customHeight="1" x14ac:dyDescent="0.25">
      <c r="B19" s="151" t="s">
        <v>56</v>
      </c>
      <c r="C19" s="464">
        <f>FGP!E19</f>
        <v>1.9503729796933278</v>
      </c>
      <c r="D19" s="411">
        <f t="shared" si="0"/>
        <v>30702.319252357021</v>
      </c>
      <c r="E19" s="446">
        <f>FGP!K19</f>
        <v>4.8371590035736451</v>
      </c>
      <c r="F19" s="411">
        <f t="shared" si="1"/>
        <v>38072.71776947067</v>
      </c>
      <c r="G19" s="446">
        <f>FGP!Q19</f>
        <v>6.0429383885527033</v>
      </c>
      <c r="H19" s="446">
        <f t="shared" si="3"/>
        <v>0.60429383885527033</v>
      </c>
      <c r="I19" s="411">
        <f t="shared" si="4"/>
        <v>15854.422509555212</v>
      </c>
      <c r="J19" s="447">
        <f t="shared" si="2"/>
        <v>84629.459531382905</v>
      </c>
      <c r="K19" s="145"/>
      <c r="L19" s="163"/>
      <c r="M19" s="121"/>
      <c r="N19" s="121"/>
      <c r="O19" s="163"/>
      <c r="P19" s="164"/>
      <c r="Q19" s="165"/>
      <c r="R19" s="166"/>
      <c r="S19" s="156"/>
      <c r="T19" s="156"/>
    </row>
    <row r="20" spans="2:20" ht="22.5" customHeight="1" x14ac:dyDescent="0.25">
      <c r="B20" s="151" t="s">
        <v>57</v>
      </c>
      <c r="C20" s="464">
        <f>FGP!E20</f>
        <v>3.3605405615416495</v>
      </c>
      <c r="D20" s="411">
        <f t="shared" si="0"/>
        <v>52900.85037845945</v>
      </c>
      <c r="E20" s="446">
        <f>FGP!K20</f>
        <v>4.7661107472169828</v>
      </c>
      <c r="F20" s="411">
        <f t="shared" si="1"/>
        <v>37513.505179956497</v>
      </c>
      <c r="G20" s="446">
        <f>FGP!Q20</f>
        <v>4.5966518129393519</v>
      </c>
      <c r="H20" s="446">
        <f t="shared" si="3"/>
        <v>0.45966518129393519</v>
      </c>
      <c r="I20" s="411">
        <f t="shared" si="4"/>
        <v>12059.904517594741</v>
      </c>
      <c r="J20" s="447">
        <f t="shared" si="2"/>
        <v>102474.26007601069</v>
      </c>
      <c r="K20" s="145"/>
      <c r="L20" s="163"/>
      <c r="M20" s="121"/>
      <c r="N20" s="121"/>
      <c r="O20" s="163"/>
      <c r="P20" s="164"/>
      <c r="Q20" s="165"/>
      <c r="R20" s="166"/>
      <c r="S20" s="156"/>
      <c r="T20" s="156"/>
    </row>
    <row r="21" spans="2:20" ht="22.5" customHeight="1" x14ac:dyDescent="0.25">
      <c r="B21" s="151" t="s">
        <v>58</v>
      </c>
      <c r="C21" s="464">
        <f>FGP!E21</f>
        <v>0.62187564753418989</v>
      </c>
      <c r="D21" s="411">
        <f t="shared" si="0"/>
        <v>9789.4222616143361</v>
      </c>
      <c r="E21" s="446">
        <f>FGP!K21</f>
        <v>4.3593468207731707</v>
      </c>
      <c r="F21" s="411">
        <f t="shared" si="1"/>
        <v>34311.913469025429</v>
      </c>
      <c r="G21" s="446">
        <f>FGP!Q21</f>
        <v>9.4238259342469775</v>
      </c>
      <c r="H21" s="446">
        <f t="shared" si="3"/>
        <v>0.94238259342469777</v>
      </c>
      <c r="I21" s="411">
        <f t="shared" si="4"/>
        <v>24724.613823812175</v>
      </c>
      <c r="J21" s="447">
        <f t="shared" si="2"/>
        <v>68825.949554451945</v>
      </c>
      <c r="K21" s="145"/>
      <c r="L21" s="163"/>
      <c r="M21" s="121"/>
      <c r="N21" s="121"/>
      <c r="O21" s="163"/>
      <c r="P21" s="164"/>
      <c r="Q21" s="165"/>
      <c r="R21" s="166"/>
      <c r="S21" s="156"/>
      <c r="T21" s="156"/>
    </row>
    <row r="22" spans="2:20" ht="22.5" customHeight="1" x14ac:dyDescent="0.25">
      <c r="B22" s="151" t="s">
        <v>59</v>
      </c>
      <c r="C22" s="464">
        <f>FGP!E22</f>
        <v>2.0163405252797348</v>
      </c>
      <c r="D22" s="411">
        <f t="shared" si="0"/>
        <v>31740.765060402799</v>
      </c>
      <c r="E22" s="446">
        <f>FGP!K22</f>
        <v>5.7323586602508998</v>
      </c>
      <c r="F22" s="411">
        <f t="shared" si="1"/>
        <v>45118.730491157134</v>
      </c>
      <c r="G22" s="446">
        <f>FGP!Q22</f>
        <v>5.4073125046017925</v>
      </c>
      <c r="H22" s="446">
        <f t="shared" si="3"/>
        <v>0.54073125046017922</v>
      </c>
      <c r="I22" s="411">
        <f t="shared" si="4"/>
        <v>14186.776627006206</v>
      </c>
      <c r="J22" s="447">
        <f t="shared" si="2"/>
        <v>91046.272178566142</v>
      </c>
      <c r="K22" s="145"/>
      <c r="L22" s="163"/>
      <c r="M22" s="121"/>
      <c r="N22" s="121"/>
      <c r="O22" s="163"/>
      <c r="P22" s="164"/>
      <c r="Q22" s="165"/>
      <c r="R22" s="166"/>
      <c r="S22" s="156"/>
      <c r="T22" s="156"/>
    </row>
    <row r="23" spans="2:20" ht="22.5" customHeight="1" x14ac:dyDescent="0.25">
      <c r="B23" s="151" t="s">
        <v>60</v>
      </c>
      <c r="C23" s="464">
        <f>FGP!E23</f>
        <v>7.6069888365105687</v>
      </c>
      <c r="D23" s="411">
        <f t="shared" si="0"/>
        <v>119747.45458398764</v>
      </c>
      <c r="E23" s="446">
        <f>FGP!K23</f>
        <v>4.5771853673079121</v>
      </c>
      <c r="F23" s="411">
        <f t="shared" si="1"/>
        <v>36026.49541586687</v>
      </c>
      <c r="G23" s="446">
        <f>FGP!Q23</f>
        <v>2.6679898108363056</v>
      </c>
      <c r="H23" s="446">
        <f t="shared" si="3"/>
        <v>0.26679898108363059</v>
      </c>
      <c r="I23" s="411">
        <f t="shared" si="4"/>
        <v>6999.8128381245797</v>
      </c>
      <c r="J23" s="447">
        <f t="shared" si="2"/>
        <v>162773.76283797907</v>
      </c>
      <c r="K23" s="145"/>
      <c r="L23" s="163"/>
      <c r="M23" s="121"/>
      <c r="N23" s="121"/>
      <c r="O23" s="163"/>
      <c r="P23" s="164"/>
      <c r="Q23" s="165"/>
      <c r="R23" s="166"/>
      <c r="S23" s="156"/>
      <c r="T23" s="156"/>
    </row>
    <row r="24" spans="2:20" ht="22.5" customHeight="1" x14ac:dyDescent="0.25">
      <c r="B24" s="151" t="s">
        <v>61</v>
      </c>
      <c r="C24" s="464">
        <f>FGP!E24</f>
        <v>3.0057727673021133</v>
      </c>
      <c r="D24" s="411">
        <f t="shared" si="0"/>
        <v>47316.17801445377</v>
      </c>
      <c r="E24" s="446">
        <f>FGP!K24</f>
        <v>5.2190716173410205</v>
      </c>
      <c r="F24" s="411">
        <f t="shared" si="1"/>
        <v>41078.707679213934</v>
      </c>
      <c r="G24" s="446">
        <f>FGP!Q24</f>
        <v>4.7016669361800902</v>
      </c>
      <c r="H24" s="446">
        <f t="shared" si="3"/>
        <v>0.47016669361800906</v>
      </c>
      <c r="I24" s="411">
        <f t="shared" si="4"/>
        <v>12335.425137977971</v>
      </c>
      <c r="J24" s="447">
        <f t="shared" si="2"/>
        <v>100730.31083164568</v>
      </c>
      <c r="K24" s="145"/>
      <c r="L24" s="163"/>
      <c r="M24" s="121"/>
      <c r="N24" s="121"/>
      <c r="O24" s="163"/>
      <c r="P24" s="164"/>
      <c r="Q24" s="165"/>
      <c r="R24" s="166"/>
      <c r="S24" s="156"/>
      <c r="T24" s="156"/>
    </row>
    <row r="25" spans="2:20" ht="22.5" customHeight="1" x14ac:dyDescent="0.25">
      <c r="B25" s="151" t="s">
        <v>62</v>
      </c>
      <c r="C25" s="464">
        <f>FGP!E25</f>
        <v>34.475044032324909</v>
      </c>
      <c r="D25" s="411">
        <f t="shared" si="0"/>
        <v>542698.15011789976</v>
      </c>
      <c r="E25" s="446">
        <f>FGP!K25</f>
        <v>4.5493655923284368</v>
      </c>
      <c r="F25" s="411">
        <f t="shared" si="1"/>
        <v>35807.529192010836</v>
      </c>
      <c r="G25" s="446">
        <f>FGP!Q25</f>
        <v>0.71840835147738202</v>
      </c>
      <c r="H25" s="446">
        <f t="shared" si="3"/>
        <v>7.1840835147738202E-2</v>
      </c>
      <c r="I25" s="411">
        <f t="shared" si="4"/>
        <v>1884.8362843301095</v>
      </c>
      <c r="J25" s="447">
        <f t="shared" si="2"/>
        <v>580390.51559424074</v>
      </c>
      <c r="K25" s="145"/>
      <c r="L25" s="163"/>
      <c r="M25" s="121"/>
      <c r="N25" s="121"/>
      <c r="O25" s="163"/>
      <c r="P25" s="164"/>
      <c r="Q25" s="165"/>
      <c r="R25" s="166"/>
      <c r="S25" s="156"/>
      <c r="T25" s="156"/>
    </row>
    <row r="26" spans="2:20" ht="22.5" customHeight="1" x14ac:dyDescent="0.25">
      <c r="B26" s="151" t="s">
        <v>63</v>
      </c>
      <c r="C26" s="464">
        <f>FGP!E26</f>
        <v>2.4334334852880231</v>
      </c>
      <c r="D26" s="411">
        <f t="shared" si="0"/>
        <v>38306.545733850493</v>
      </c>
      <c r="E26" s="446">
        <f>FGP!K26</f>
        <v>6.1676355253754691</v>
      </c>
      <c r="F26" s="411">
        <f t="shared" si="1"/>
        <v>48544.744237082035</v>
      </c>
      <c r="G26" s="446">
        <f>FGP!Q26</f>
        <v>4.7852289992748567</v>
      </c>
      <c r="H26" s="446">
        <f t="shared" si="3"/>
        <v>0.4785228999274857</v>
      </c>
      <c r="I26" s="411">
        <f t="shared" si="4"/>
        <v>12554.660908540218</v>
      </c>
      <c r="J26" s="447">
        <f t="shared" si="2"/>
        <v>99405.950879472744</v>
      </c>
      <c r="K26" s="145"/>
      <c r="L26" s="163"/>
      <c r="M26" s="121"/>
      <c r="N26" s="121"/>
      <c r="O26" s="163"/>
      <c r="P26" s="164"/>
      <c r="Q26" s="165"/>
      <c r="R26" s="166"/>
      <c r="S26" s="156"/>
      <c r="T26" s="156"/>
    </row>
    <row r="27" spans="2:20" ht="22.5" customHeight="1" thickBot="1" x14ac:dyDescent="0.3">
      <c r="B27" s="151" t="s">
        <v>64</v>
      </c>
      <c r="C27" s="464">
        <f>FGP!E27</f>
        <v>5.2797509583506006</v>
      </c>
      <c r="D27" s="411">
        <f t="shared" si="0"/>
        <v>83112.615476095467</v>
      </c>
      <c r="E27" s="446">
        <f>FGP!K27</f>
        <v>4.3257954027125782</v>
      </c>
      <c r="F27" s="411">
        <f t="shared" si="1"/>
        <v>34047.834146918642</v>
      </c>
      <c r="G27" s="446">
        <f>FGP!Q27</f>
        <v>3.5473004134980548</v>
      </c>
      <c r="H27" s="446">
        <f t="shared" si="3"/>
        <v>0.35473004134980551</v>
      </c>
      <c r="I27" s="411">
        <f t="shared" si="4"/>
        <v>9306.7967779475839</v>
      </c>
      <c r="J27" s="447">
        <f t="shared" si="2"/>
        <v>126467.2464009617</v>
      </c>
      <c r="K27" s="145"/>
      <c r="L27" s="163"/>
      <c r="M27" s="121"/>
      <c r="N27" s="121"/>
      <c r="O27" s="163"/>
      <c r="P27" s="164"/>
      <c r="Q27" s="165"/>
      <c r="R27" s="166"/>
      <c r="S27" s="156"/>
      <c r="T27" s="156"/>
    </row>
    <row r="28" spans="2:20" ht="15.75" thickBot="1" x14ac:dyDescent="0.3">
      <c r="B28" s="462" t="s">
        <v>65</v>
      </c>
      <c r="C28" s="465">
        <f>SUM(C8:C27)</f>
        <v>100</v>
      </c>
      <c r="D28" s="70">
        <f>Datos!K64*'FOCO ISAN'!C6</f>
        <v>1574176.8149999999</v>
      </c>
      <c r="E28" s="210">
        <f>SUM(E8:E27)</f>
        <v>100.00000000000001</v>
      </c>
      <c r="F28" s="70">
        <f>Datos!K64*'FOCO ISAN'!E6</f>
        <v>787088.40749999997</v>
      </c>
      <c r="G28" s="210">
        <v>99.999999999999972</v>
      </c>
      <c r="H28" s="211">
        <f t="shared" si="3"/>
        <v>9.9999999999999982</v>
      </c>
      <c r="I28" s="70">
        <f>Datos!K64*'FOCO ISAN'!G6</f>
        <v>262362.80249999999</v>
      </c>
      <c r="J28" s="204">
        <f>SUM(J8:J27)</f>
        <v>2623628.0249999999</v>
      </c>
      <c r="K28" s="209"/>
      <c r="L28" s="168"/>
      <c r="M28" s="167"/>
      <c r="N28" s="167"/>
      <c r="O28" s="168"/>
      <c r="P28" s="148"/>
      <c r="Q28" s="165"/>
      <c r="R28" s="166"/>
      <c r="S28" s="156"/>
      <c r="T28" s="156"/>
    </row>
    <row r="29" spans="2:20" x14ac:dyDescent="0.25">
      <c r="B29" s="1073" t="s">
        <v>295</v>
      </c>
      <c r="C29" s="1073"/>
      <c r="D29" s="1073"/>
      <c r="E29" s="1073"/>
      <c r="F29" s="1073"/>
      <c r="G29" s="1073"/>
      <c r="H29" s="8"/>
      <c r="I29" s="8"/>
      <c r="J29" s="8"/>
      <c r="K29" s="163"/>
      <c r="L29" s="155"/>
      <c r="M29" s="155"/>
      <c r="N29" s="156"/>
      <c r="O29" s="156"/>
      <c r="P29" s="156"/>
      <c r="Q29" s="156"/>
      <c r="R29" s="156"/>
      <c r="S29" s="156"/>
      <c r="T29" s="156"/>
    </row>
    <row r="30" spans="2:20" ht="27" customHeight="1" x14ac:dyDescent="0.25">
      <c r="B30" s="1122"/>
      <c r="C30" s="1123"/>
      <c r="D30" s="1123"/>
      <c r="E30" s="1123"/>
      <c r="F30" s="1123"/>
      <c r="G30" s="1123"/>
      <c r="H30" s="1123"/>
      <c r="I30" s="1123"/>
      <c r="J30" s="1123"/>
      <c r="K30" s="537"/>
      <c r="L30" s="537"/>
      <c r="M30" s="537"/>
      <c r="N30" s="537"/>
      <c r="O30" s="537"/>
      <c r="P30" s="537"/>
      <c r="Q30" s="537"/>
      <c r="R30" s="537"/>
      <c r="S30" s="537"/>
      <c r="T30" s="537"/>
    </row>
    <row r="31" spans="2:20" x14ac:dyDescent="0.25">
      <c r="B31" s="1071"/>
      <c r="C31" s="1071"/>
      <c r="D31" s="1071"/>
      <c r="E31" s="1071"/>
      <c r="F31" s="1071"/>
      <c r="G31" s="1071"/>
      <c r="H31" s="1071"/>
      <c r="I31" s="1071"/>
      <c r="J31" s="1071"/>
    </row>
  </sheetData>
  <mergeCells count="11">
    <mergeCell ref="B31:J31"/>
    <mergeCell ref="B29:G29"/>
    <mergeCell ref="B30:J30"/>
    <mergeCell ref="K4:K5"/>
    <mergeCell ref="B1:J1"/>
    <mergeCell ref="B4:B7"/>
    <mergeCell ref="D4:D5"/>
    <mergeCell ref="F4:F5"/>
    <mergeCell ref="I4:I5"/>
    <mergeCell ref="B2:J2"/>
    <mergeCell ref="J4:J6"/>
  </mergeCells>
  <printOptions horizontalCentered="1"/>
  <pageMargins left="0.70866141732283472" right="0.70866141732283472" top="0.74803149606299213" bottom="0.74803149606299213" header="0.31496062992125984" footer="0.31496062992125984"/>
  <pageSetup scale="8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pageSetUpPr fitToPage="1"/>
  </sheetPr>
  <dimension ref="B1:AB34"/>
  <sheetViews>
    <sheetView zoomScale="87" zoomScaleNormal="87" workbookViewId="0">
      <selection activeCell="B1" sqref="B1:S1"/>
    </sheetView>
  </sheetViews>
  <sheetFormatPr baseColWidth="10" defaultRowHeight="15" x14ac:dyDescent="0.25"/>
  <cols>
    <col min="1" max="1" width="3.5703125" customWidth="1"/>
    <col min="2" max="2" width="23.140625" customWidth="1"/>
    <col min="3" max="3" width="13.42578125" customWidth="1"/>
    <col min="4" max="4" width="15.28515625" customWidth="1"/>
    <col min="5" max="5" width="13.42578125" customWidth="1"/>
    <col min="6" max="6" width="19.5703125" style="9" customWidth="1"/>
    <col min="7" max="7" width="17.42578125" style="9" customWidth="1"/>
    <col min="8" max="8" width="16.85546875" style="9" customWidth="1"/>
    <col min="9" max="9" width="12.140625" customWidth="1"/>
    <col min="10" max="10" width="16.5703125" customWidth="1"/>
    <col min="11" max="11" width="13.7109375" customWidth="1"/>
    <col min="12" max="12" width="19.5703125" customWidth="1"/>
    <col min="13" max="13" width="13.85546875" customWidth="1"/>
    <col min="14" max="14" width="15.28515625" customWidth="1"/>
    <col min="15" max="15" width="13.28515625" customWidth="1"/>
    <col min="16" max="16" width="13.42578125" customWidth="1"/>
    <col min="17" max="17" width="13.5703125" customWidth="1"/>
    <col min="18" max="18" width="19.7109375" customWidth="1"/>
    <col min="19" max="19" width="16.7109375" customWidth="1"/>
    <col min="20" max="20" width="14.85546875" hidden="1" customWidth="1"/>
    <col min="21" max="23" width="11.42578125" hidden="1" customWidth="1"/>
    <col min="24" max="24" width="11.42578125" customWidth="1"/>
    <col min="25" max="25" width="15.5703125" bestFit="1" customWidth="1"/>
    <col min="26" max="26" width="17.85546875" bestFit="1" customWidth="1"/>
    <col min="27" max="27" width="12.140625" bestFit="1" customWidth="1"/>
  </cols>
  <sheetData>
    <row r="1" spans="2:28" ht="15.75" x14ac:dyDescent="0.25">
      <c r="B1" s="962" t="s">
        <v>453</v>
      </c>
      <c r="C1" s="962"/>
      <c r="D1" s="962"/>
      <c r="E1" s="962"/>
      <c r="F1" s="962"/>
      <c r="G1" s="962"/>
      <c r="H1" s="962"/>
      <c r="I1" s="962"/>
      <c r="J1" s="962"/>
      <c r="K1" s="962"/>
      <c r="L1" s="962"/>
      <c r="M1" s="962"/>
      <c r="N1" s="962"/>
      <c r="O1" s="962"/>
      <c r="P1" s="962"/>
      <c r="Q1" s="962"/>
      <c r="R1" s="962"/>
      <c r="S1" s="962"/>
    </row>
    <row r="2" spans="2:28" ht="15.75" x14ac:dyDescent="0.25">
      <c r="B2" s="962" t="s">
        <v>276</v>
      </c>
      <c r="C2" s="962"/>
      <c r="D2" s="962"/>
      <c r="E2" s="962"/>
      <c r="F2" s="962"/>
      <c r="G2" s="962"/>
      <c r="H2" s="962"/>
      <c r="I2" s="962"/>
      <c r="J2" s="962"/>
      <c r="K2" s="962"/>
      <c r="L2" s="962"/>
      <c r="M2" s="962"/>
      <c r="N2" s="962"/>
      <c r="O2" s="962"/>
      <c r="P2" s="962"/>
      <c r="Q2" s="962"/>
      <c r="R2" s="962"/>
      <c r="S2" s="962"/>
    </row>
    <row r="3" spans="2:28" ht="15.75" thickBot="1" x14ac:dyDescent="0.3">
      <c r="B3" s="817"/>
      <c r="C3" s="817"/>
      <c r="D3" s="817"/>
      <c r="E3" s="817"/>
      <c r="F3" s="817"/>
      <c r="G3" s="817"/>
      <c r="H3" s="817"/>
      <c r="I3" s="9"/>
    </row>
    <row r="4" spans="2:28" ht="33.75" customHeight="1" thickBot="1" x14ac:dyDescent="0.3">
      <c r="B4" s="986" t="s">
        <v>348</v>
      </c>
      <c r="C4" s="1131" t="s">
        <v>66</v>
      </c>
      <c r="D4" s="1132"/>
      <c r="E4" s="1132"/>
      <c r="F4" s="1133"/>
      <c r="G4" s="1131" t="s">
        <v>67</v>
      </c>
      <c r="H4" s="1132"/>
      <c r="I4" s="1132"/>
      <c r="J4" s="1132"/>
      <c r="K4" s="1132"/>
      <c r="L4" s="1133"/>
      <c r="M4" s="1134" t="s">
        <v>68</v>
      </c>
      <c r="N4" s="1135"/>
      <c r="O4" s="1135"/>
      <c r="P4" s="1135"/>
      <c r="Q4" s="1135"/>
      <c r="R4" s="1136"/>
      <c r="S4" s="818" t="s">
        <v>82</v>
      </c>
      <c r="T4" s="1023" t="s">
        <v>518</v>
      </c>
    </row>
    <row r="5" spans="2:28" ht="15" customHeight="1" x14ac:dyDescent="0.25">
      <c r="B5" s="987"/>
      <c r="C5" s="826" t="s">
        <v>69</v>
      </c>
      <c r="D5" s="1021" t="s">
        <v>244</v>
      </c>
      <c r="E5" s="827" t="s">
        <v>138</v>
      </c>
      <c r="F5" s="1021" t="s">
        <v>434</v>
      </c>
      <c r="G5" s="1143" t="s">
        <v>257</v>
      </c>
      <c r="H5" s="1144"/>
      <c r="I5" s="1137" t="s">
        <v>435</v>
      </c>
      <c r="J5" s="1148" t="s">
        <v>77</v>
      </c>
      <c r="K5" s="827" t="s">
        <v>22</v>
      </c>
      <c r="L5" s="1021" t="s">
        <v>436</v>
      </c>
      <c r="M5" s="1021" t="s">
        <v>17</v>
      </c>
      <c r="N5" s="1137" t="s">
        <v>437</v>
      </c>
      <c r="O5" s="1137" t="s">
        <v>252</v>
      </c>
      <c r="P5" s="1137" t="s">
        <v>438</v>
      </c>
      <c r="Q5" s="1140" t="s">
        <v>203</v>
      </c>
      <c r="R5" s="1021" t="s">
        <v>439</v>
      </c>
      <c r="S5" s="1006" t="s">
        <v>466</v>
      </c>
      <c r="T5" s="1023"/>
    </row>
    <row r="6" spans="2:28" ht="15.75" thickBot="1" x14ac:dyDescent="0.3">
      <c r="B6" s="987"/>
      <c r="C6" s="828" t="s">
        <v>371</v>
      </c>
      <c r="D6" s="1138"/>
      <c r="E6" s="829" t="s">
        <v>142</v>
      </c>
      <c r="F6" s="1022"/>
      <c r="G6" s="1145"/>
      <c r="H6" s="1146"/>
      <c r="I6" s="1147"/>
      <c r="J6" s="1149"/>
      <c r="K6" s="829" t="s">
        <v>202</v>
      </c>
      <c r="L6" s="1022"/>
      <c r="M6" s="1022"/>
      <c r="N6" s="1147"/>
      <c r="O6" s="1147"/>
      <c r="P6" s="1138"/>
      <c r="Q6" s="1141"/>
      <c r="R6" s="1022"/>
      <c r="S6" s="1006"/>
      <c r="T6" s="1023"/>
    </row>
    <row r="7" spans="2:28" x14ac:dyDescent="0.25">
      <c r="B7" s="987"/>
      <c r="C7" s="828" t="s">
        <v>38</v>
      </c>
      <c r="D7" s="829" t="s">
        <v>37</v>
      </c>
      <c r="E7" s="830">
        <v>0.6</v>
      </c>
      <c r="F7" s="1022"/>
      <c r="G7" s="831">
        <v>2019</v>
      </c>
      <c r="H7" s="832">
        <v>2020</v>
      </c>
      <c r="I7" s="1147"/>
      <c r="J7" s="1149"/>
      <c r="K7" s="830">
        <v>0.3</v>
      </c>
      <c r="L7" s="1022"/>
      <c r="M7" s="1022"/>
      <c r="N7" s="1147"/>
      <c r="O7" s="1147"/>
      <c r="P7" s="1138"/>
      <c r="Q7" s="1141"/>
      <c r="R7" s="1022"/>
      <c r="S7" s="1006"/>
      <c r="T7" s="1023"/>
    </row>
    <row r="8" spans="2:28" ht="15.75" thickBot="1" x14ac:dyDescent="0.3">
      <c r="B8" s="987"/>
      <c r="C8" s="833" t="s">
        <v>71</v>
      </c>
      <c r="D8" s="834" t="s">
        <v>72</v>
      </c>
      <c r="E8" s="834" t="s">
        <v>73</v>
      </c>
      <c r="F8" s="834" t="s">
        <v>100</v>
      </c>
      <c r="G8" s="834" t="s">
        <v>74</v>
      </c>
      <c r="H8" s="834" t="s">
        <v>75</v>
      </c>
      <c r="I8" s="834" t="s">
        <v>76</v>
      </c>
      <c r="J8" s="834" t="s">
        <v>102</v>
      </c>
      <c r="K8" s="834" t="s">
        <v>78</v>
      </c>
      <c r="L8" s="835" t="s">
        <v>246</v>
      </c>
      <c r="M8" s="835" t="s">
        <v>248</v>
      </c>
      <c r="N8" s="835" t="s">
        <v>249</v>
      </c>
      <c r="O8" s="835" t="s">
        <v>251</v>
      </c>
      <c r="P8" s="1139"/>
      <c r="Q8" s="836" t="s">
        <v>79</v>
      </c>
      <c r="R8" s="835" t="s">
        <v>255</v>
      </c>
      <c r="S8" s="837" t="s">
        <v>440</v>
      </c>
      <c r="T8" s="1023"/>
      <c r="V8" s="78"/>
    </row>
    <row r="9" spans="2:28" s="5" customFormat="1" ht="16.5" customHeight="1" x14ac:dyDescent="0.25">
      <c r="B9" s="838" t="s">
        <v>45</v>
      </c>
      <c r="C9" s="839">
        <f>'CENSO 2020'!C10</f>
        <v>37232</v>
      </c>
      <c r="D9" s="840">
        <f>C9/$C$29*100</f>
        <v>3.0136241193535018</v>
      </c>
      <c r="E9" s="841">
        <f>D9*0.6</f>
        <v>1.8081744716121011</v>
      </c>
      <c r="F9" s="842">
        <f>Datos!$K$78*'ISR Enaje'!E9/100</f>
        <v>632861.06506423536</v>
      </c>
      <c r="G9" s="843">
        <f>'Predial y Agua'!D9</f>
        <v>11337932</v>
      </c>
      <c r="H9" s="844">
        <f>'Predial y Agua'!G9</f>
        <v>10441632</v>
      </c>
      <c r="I9" s="840">
        <f>H9/G9</f>
        <v>0.92094678288774356</v>
      </c>
      <c r="J9" s="840">
        <f>I9/$I$29*100</f>
        <v>4.5362651544424901</v>
      </c>
      <c r="K9" s="840">
        <f>J9*0.3</f>
        <v>1.360879546332747</v>
      </c>
      <c r="L9" s="845">
        <f>Datos!$K$78*'ISR Enaje'!K9/100</f>
        <v>476307.84121646144</v>
      </c>
      <c r="M9" s="846">
        <f>F9+L9</f>
        <v>1109168.9062806969</v>
      </c>
      <c r="N9" s="840">
        <f>K9+E9</f>
        <v>3.1690540179448483</v>
      </c>
      <c r="O9" s="840">
        <f>MINVERSE(N9)</f>
        <v>0.31555157922126753</v>
      </c>
      <c r="P9" s="840">
        <f>O9/O$29*100</f>
        <v>4.9985851648979605</v>
      </c>
      <c r="Q9" s="840">
        <f>P9*0.1</f>
        <v>0.49985851648979607</v>
      </c>
      <c r="R9" s="847">
        <f>$R$29*P9/100</f>
        <v>174950.48077142861</v>
      </c>
      <c r="S9" s="848">
        <f>F9+L9+R9</f>
        <v>1284119.3870521255</v>
      </c>
      <c r="T9" s="92">
        <f>E9+K9+Q9</f>
        <v>3.6689125344346443</v>
      </c>
      <c r="U9" s="93"/>
      <c r="V9" s="94">
        <v>0.97425313870244945</v>
      </c>
      <c r="W9" s="94">
        <f t="shared" ref="W9:W28" si="0">I9-V9</f>
        <v>-5.3306355814705886E-2</v>
      </c>
      <c r="Y9" s="93"/>
      <c r="Z9" s="95"/>
      <c r="AA9" s="93"/>
      <c r="AB9" s="93"/>
    </row>
    <row r="10" spans="2:28" s="5" customFormat="1" ht="16.5" customHeight="1" x14ac:dyDescent="0.25">
      <c r="B10" s="838" t="s">
        <v>46</v>
      </c>
      <c r="C10" s="839">
        <f>'CENSO 2020'!C11</f>
        <v>15393</v>
      </c>
      <c r="D10" s="840">
        <f t="shared" ref="D10:D28" si="1">C10/$C$29*100</f>
        <v>1.2459367229589724</v>
      </c>
      <c r="E10" s="841">
        <f t="shared" ref="E10:E28" si="2">D10*0.6</f>
        <v>0.74756203377538344</v>
      </c>
      <c r="F10" s="842">
        <f>Datos!$K$78*'ISR Enaje'!E10/100</f>
        <v>261646.7118213842</v>
      </c>
      <c r="G10" s="843">
        <f>'Predial y Agua'!D10</f>
        <v>4476557</v>
      </c>
      <c r="H10" s="844">
        <f>'Predial y Agua'!G10</f>
        <v>4832614</v>
      </c>
      <c r="I10" s="840">
        <f t="shared" ref="I10:I28" si="3">H10/G10</f>
        <v>1.0795381361166629</v>
      </c>
      <c r="J10" s="840">
        <f t="shared" ref="J10:J28" si="4">I10/$I$29*100</f>
        <v>5.3174312791477849</v>
      </c>
      <c r="K10" s="849">
        <f t="shared" ref="K10:K28" si="5">J10*0.3</f>
        <v>1.5952293837443354</v>
      </c>
      <c r="L10" s="845">
        <f>Datos!$K$78*'ISR Enaje'!K10/100</f>
        <v>558330.28431051737</v>
      </c>
      <c r="M10" s="850">
        <f t="shared" ref="M10:M29" si="6">F10+L10</f>
        <v>819976.99613190163</v>
      </c>
      <c r="N10" s="849">
        <f t="shared" ref="N10:N28" si="7">K10+E10</f>
        <v>2.3427914175197189</v>
      </c>
      <c r="O10" s="849">
        <f t="shared" ref="O10:O28" si="8">MINVERSE(N10)</f>
        <v>0.42684124268249468</v>
      </c>
      <c r="P10" s="849">
        <f t="shared" ref="P10:P28" si="9">O10/O$29*100</f>
        <v>6.7615009524107856</v>
      </c>
      <c r="Q10" s="849">
        <f t="shared" ref="Q10:Q28" si="10">P10*0.1</f>
        <v>0.67615009524107861</v>
      </c>
      <c r="R10" s="847">
        <f t="shared" ref="R10:R28" si="11">$R$29*P10/100</f>
        <v>236652.53333437748</v>
      </c>
      <c r="S10" s="848">
        <f t="shared" ref="S10:S28" si="12">F10+L10+R10</f>
        <v>1056629.5294662791</v>
      </c>
      <c r="T10" s="92">
        <f t="shared" ref="T10:T28" si="13">E10+K10+Q10</f>
        <v>3.0189415127607973</v>
      </c>
      <c r="U10" s="93"/>
      <c r="V10" s="94">
        <v>1.0958106186784708</v>
      </c>
      <c r="W10" s="94">
        <f t="shared" si="0"/>
        <v>-1.6272482561807911E-2</v>
      </c>
      <c r="Y10" s="93"/>
      <c r="Z10" s="95"/>
      <c r="AA10" s="93"/>
      <c r="AB10" s="93"/>
    </row>
    <row r="11" spans="2:28" s="5" customFormat="1" ht="16.5" customHeight="1" x14ac:dyDescent="0.25">
      <c r="B11" s="838" t="s">
        <v>47</v>
      </c>
      <c r="C11" s="839">
        <f>'CENSO 2020'!C12</f>
        <v>11536</v>
      </c>
      <c r="D11" s="840">
        <f t="shared" si="1"/>
        <v>0.93374430169912959</v>
      </c>
      <c r="E11" s="841">
        <f t="shared" si="2"/>
        <v>0.56024658101947777</v>
      </c>
      <c r="F11" s="842">
        <f>Datos!$K$78*'ISR Enaje'!E11/100</f>
        <v>196086.30335681722</v>
      </c>
      <c r="G11" s="843">
        <f>'Predial y Agua'!D11</f>
        <v>3050109</v>
      </c>
      <c r="H11" s="844">
        <f>'Predial y Agua'!G11</f>
        <v>3371752</v>
      </c>
      <c r="I11" s="840">
        <f t="shared" si="3"/>
        <v>1.1054529526649703</v>
      </c>
      <c r="J11" s="840">
        <f t="shared" si="4"/>
        <v>5.4450786975178707</v>
      </c>
      <c r="K11" s="849">
        <f t="shared" si="5"/>
        <v>1.6335236092553611</v>
      </c>
      <c r="L11" s="845">
        <f>Datos!$K$78*'ISR Enaje'!K11/100</f>
        <v>571733.26323937636</v>
      </c>
      <c r="M11" s="850">
        <f t="shared" si="6"/>
        <v>767819.56659619359</v>
      </c>
      <c r="N11" s="849">
        <f t="shared" si="7"/>
        <v>2.1937701902748388</v>
      </c>
      <c r="O11" s="849">
        <f t="shared" si="8"/>
        <v>0.45583626053133602</v>
      </c>
      <c r="P11" s="849">
        <f t="shared" si="9"/>
        <v>7.2208048368433877</v>
      </c>
      <c r="Q11" s="849">
        <f t="shared" si="10"/>
        <v>0.72208048368433886</v>
      </c>
      <c r="R11" s="847">
        <f t="shared" si="11"/>
        <v>252728.16928951856</v>
      </c>
      <c r="S11" s="848">
        <f t="shared" si="12"/>
        <v>1020547.7358857121</v>
      </c>
      <c r="T11" s="92">
        <f t="shared" si="13"/>
        <v>2.9158506739591776</v>
      </c>
      <c r="U11" s="93"/>
      <c r="V11" s="94">
        <v>1.0258439054458339</v>
      </c>
      <c r="W11" s="94">
        <f t="shared" si="0"/>
        <v>7.960904721913642E-2</v>
      </c>
      <c r="Y11" s="93"/>
      <c r="Z11" s="95"/>
      <c r="AA11" s="93"/>
      <c r="AB11" s="93"/>
    </row>
    <row r="12" spans="2:28" s="5" customFormat="1" ht="16.5" customHeight="1" x14ac:dyDescent="0.25">
      <c r="B12" s="838" t="s">
        <v>48</v>
      </c>
      <c r="C12" s="839">
        <f>'CENSO 2020'!C13</f>
        <v>187632</v>
      </c>
      <c r="D12" s="840">
        <f t="shared" si="1"/>
        <v>15.187266887691669</v>
      </c>
      <c r="E12" s="841">
        <f t="shared" si="2"/>
        <v>9.1123601326150006</v>
      </c>
      <c r="F12" s="842">
        <f>Datos!$K$78*'ISR Enaje'!E12/100</f>
        <v>3189326.0464152503</v>
      </c>
      <c r="G12" s="843">
        <f>'Predial y Agua'!D12</f>
        <v>323649261</v>
      </c>
      <c r="H12" s="844">
        <f>'Predial y Agua'!G12</f>
        <v>300634231</v>
      </c>
      <c r="I12" s="840">
        <f t="shared" si="3"/>
        <v>0.92888897713256324</v>
      </c>
      <c r="J12" s="840">
        <f t="shared" si="4"/>
        <v>4.5753856548579632</v>
      </c>
      <c r="K12" s="849">
        <f t="shared" si="5"/>
        <v>1.372615696457389</v>
      </c>
      <c r="L12" s="845">
        <f>Datos!$K$78*'ISR Enaje'!K12/100</f>
        <v>480415.49376008613</v>
      </c>
      <c r="M12" s="850">
        <f t="shared" si="6"/>
        <v>3669741.5401753364</v>
      </c>
      <c r="N12" s="849">
        <f t="shared" si="7"/>
        <v>10.48497582907239</v>
      </c>
      <c r="O12" s="849">
        <f t="shared" si="8"/>
        <v>9.5374564167065939E-2</v>
      </c>
      <c r="P12" s="849">
        <f t="shared" si="9"/>
        <v>1.5108080990455499</v>
      </c>
      <c r="Q12" s="849">
        <f t="shared" si="10"/>
        <v>0.151080809904555</v>
      </c>
      <c r="R12" s="847">
        <f t="shared" si="11"/>
        <v>52878.28346659425</v>
      </c>
      <c r="S12" s="848">
        <f t="shared" si="12"/>
        <v>3722619.8236419307</v>
      </c>
      <c r="T12" s="92">
        <f t="shared" si="13"/>
        <v>10.636056638976944</v>
      </c>
      <c r="U12" s="93"/>
      <c r="V12" s="94">
        <v>1.2368625473905901</v>
      </c>
      <c r="W12" s="94">
        <f t="shared" si="0"/>
        <v>-0.30797357025802685</v>
      </c>
      <c r="Y12" s="93"/>
      <c r="Z12" s="95"/>
      <c r="AA12" s="93"/>
      <c r="AB12" s="93"/>
    </row>
    <row r="13" spans="2:28" s="5" customFormat="1" ht="16.5" customHeight="1" x14ac:dyDescent="0.25">
      <c r="B13" s="838" t="s">
        <v>49</v>
      </c>
      <c r="C13" s="839">
        <f>'CENSO 2020'!C14</f>
        <v>77436</v>
      </c>
      <c r="D13" s="840">
        <f t="shared" si="1"/>
        <v>6.2678071902196431</v>
      </c>
      <c r="E13" s="841">
        <f t="shared" si="2"/>
        <v>3.7606843141317858</v>
      </c>
      <c r="F13" s="842">
        <f>Datos!$K$78*'ISR Enaje'!E13/100</f>
        <v>1316239.5099461251</v>
      </c>
      <c r="G13" s="843">
        <f>'Predial y Agua'!D13</f>
        <v>60010155</v>
      </c>
      <c r="H13" s="844">
        <f>'Predial y Agua'!G13</f>
        <v>33277744</v>
      </c>
      <c r="I13" s="840">
        <f t="shared" si="3"/>
        <v>0.55453521158210639</v>
      </c>
      <c r="J13" s="840">
        <f t="shared" si="4"/>
        <v>2.7314485526770396</v>
      </c>
      <c r="K13" s="849">
        <f t="shared" si="5"/>
        <v>0.8194345658031118</v>
      </c>
      <c r="L13" s="845">
        <f>Datos!$K$78*'ISR Enaje'!K13/100</f>
        <v>286802.09803108912</v>
      </c>
      <c r="M13" s="850">
        <f t="shared" si="6"/>
        <v>1603041.6079772143</v>
      </c>
      <c r="N13" s="849">
        <f t="shared" si="7"/>
        <v>4.580118879934898</v>
      </c>
      <c r="O13" s="849">
        <f t="shared" si="8"/>
        <v>0.21833494418254359</v>
      </c>
      <c r="P13" s="849">
        <f t="shared" si="9"/>
        <v>3.4585972146392314</v>
      </c>
      <c r="Q13" s="849">
        <f t="shared" si="10"/>
        <v>0.34585972146392319</v>
      </c>
      <c r="R13" s="847">
        <f t="shared" si="11"/>
        <v>121050.90251237311</v>
      </c>
      <c r="S13" s="848">
        <f t="shared" si="12"/>
        <v>1724092.5104895874</v>
      </c>
      <c r="T13" s="92">
        <f t="shared" si="13"/>
        <v>4.9259786013988212</v>
      </c>
      <c r="U13" s="93"/>
      <c r="V13" s="94">
        <v>0.59920521048482089</v>
      </c>
      <c r="W13" s="94">
        <f t="shared" si="0"/>
        <v>-4.4669998902714503E-2</v>
      </c>
      <c r="Y13" s="93"/>
      <c r="Z13" s="95"/>
      <c r="AA13" s="93"/>
      <c r="AB13" s="93"/>
    </row>
    <row r="14" spans="2:28" s="5" customFormat="1" ht="16.5" customHeight="1" x14ac:dyDescent="0.25">
      <c r="B14" s="838" t="s">
        <v>50</v>
      </c>
      <c r="C14" s="839">
        <f>'CENSO 2020'!C15</f>
        <v>47550</v>
      </c>
      <c r="D14" s="840">
        <f t="shared" si="1"/>
        <v>3.8487813406547868</v>
      </c>
      <c r="E14" s="841">
        <f t="shared" si="2"/>
        <v>2.3092688043928722</v>
      </c>
      <c r="F14" s="842">
        <f>Datos!$K$78*'ISR Enaje'!E14/100</f>
        <v>808244.08153750526</v>
      </c>
      <c r="G14" s="843">
        <f>'Predial y Agua'!D14</f>
        <v>94277</v>
      </c>
      <c r="H14" s="844">
        <f>'Predial y Agua'!G14</f>
        <v>119914</v>
      </c>
      <c r="I14" s="840">
        <f t="shared" si="3"/>
        <v>1.2719327089321892</v>
      </c>
      <c r="J14" s="840">
        <f t="shared" si="4"/>
        <v>6.2651003657700279</v>
      </c>
      <c r="K14" s="849">
        <f t="shared" si="5"/>
        <v>1.8795301097310082</v>
      </c>
      <c r="L14" s="845">
        <f>Datos!$K$78*'ISR Enaje'!K14/100</f>
        <v>657835.53840585286</v>
      </c>
      <c r="M14" s="850">
        <f t="shared" si="6"/>
        <v>1466079.619943358</v>
      </c>
      <c r="N14" s="849">
        <f t="shared" si="7"/>
        <v>4.1887989141238808</v>
      </c>
      <c r="O14" s="849">
        <f t="shared" si="8"/>
        <v>0.2387319182661595</v>
      </c>
      <c r="P14" s="849">
        <f t="shared" si="9"/>
        <v>3.7817013243216553</v>
      </c>
      <c r="Q14" s="849">
        <f t="shared" si="10"/>
        <v>0.37817013243216557</v>
      </c>
      <c r="R14" s="847">
        <f t="shared" si="11"/>
        <v>132359.54635125794</v>
      </c>
      <c r="S14" s="848">
        <f t="shared" si="12"/>
        <v>1598439.1662946159</v>
      </c>
      <c r="T14" s="92">
        <f t="shared" si="13"/>
        <v>4.5669690465560464</v>
      </c>
      <c r="U14" s="93"/>
      <c r="V14" s="94">
        <v>5.0856642738427809</v>
      </c>
      <c r="W14" s="94">
        <f t="shared" si="0"/>
        <v>-3.8137315649105918</v>
      </c>
      <c r="Y14" s="93"/>
      <c r="Z14" s="95"/>
      <c r="AA14" s="93"/>
      <c r="AB14" s="93"/>
    </row>
    <row r="15" spans="2:28" s="5" customFormat="1" ht="16.5" customHeight="1" x14ac:dyDescent="0.25">
      <c r="B15" s="838" t="s">
        <v>51</v>
      </c>
      <c r="C15" s="839">
        <f>'CENSO 2020'!C16</f>
        <v>12230</v>
      </c>
      <c r="D15" s="840">
        <f t="shared" si="1"/>
        <v>0.98991789266473262</v>
      </c>
      <c r="E15" s="841">
        <f t="shared" si="2"/>
        <v>0.5939507355988396</v>
      </c>
      <c r="F15" s="842">
        <f>Datos!$K$78*'ISR Enaje'!E15/100</f>
        <v>207882.75745959385</v>
      </c>
      <c r="G15" s="843">
        <f>'Predial y Agua'!D15</f>
        <v>99583</v>
      </c>
      <c r="H15" s="844">
        <f>'Predial y Agua'!G15</f>
        <v>124702</v>
      </c>
      <c r="I15" s="840">
        <f t="shared" si="3"/>
        <v>1.2522418485082796</v>
      </c>
      <c r="J15" s="840">
        <f t="shared" si="4"/>
        <v>6.1681100014387802</v>
      </c>
      <c r="K15" s="849">
        <f t="shared" si="5"/>
        <v>1.8504330004316341</v>
      </c>
      <c r="L15" s="845">
        <f>Datos!$K$78*'ISR Enaje'!K15/100</f>
        <v>647651.55015107198</v>
      </c>
      <c r="M15" s="850">
        <f t="shared" si="6"/>
        <v>855534.3076106658</v>
      </c>
      <c r="N15" s="849">
        <f t="shared" si="7"/>
        <v>2.4443837360304737</v>
      </c>
      <c r="O15" s="849">
        <f t="shared" si="8"/>
        <v>0.40910106922243622</v>
      </c>
      <c r="P15" s="849">
        <f t="shared" si="9"/>
        <v>6.4804826539158045</v>
      </c>
      <c r="Q15" s="849">
        <f t="shared" si="10"/>
        <v>0.64804826539158045</v>
      </c>
      <c r="R15" s="847">
        <f t="shared" si="11"/>
        <v>226816.89288705317</v>
      </c>
      <c r="S15" s="848">
        <f t="shared" si="12"/>
        <v>1082351.200497719</v>
      </c>
      <c r="T15" s="92">
        <f t="shared" si="13"/>
        <v>3.0924320014220541</v>
      </c>
      <c r="U15" s="93"/>
      <c r="V15" s="94">
        <v>0.76323116375625843</v>
      </c>
      <c r="W15" s="94">
        <f t="shared" si="0"/>
        <v>0.48901068475202114</v>
      </c>
      <c r="Y15" s="93"/>
      <c r="Z15" s="95"/>
      <c r="AA15" s="93"/>
      <c r="AB15" s="93"/>
    </row>
    <row r="16" spans="2:28" s="5" customFormat="1" ht="16.5" customHeight="1" x14ac:dyDescent="0.25">
      <c r="B16" s="838" t="s">
        <v>52</v>
      </c>
      <c r="C16" s="839">
        <f>'CENSO 2020'!C17</f>
        <v>29299</v>
      </c>
      <c r="D16" s="840">
        <f t="shared" si="1"/>
        <v>2.3715130283878989</v>
      </c>
      <c r="E16" s="841">
        <f t="shared" si="2"/>
        <v>1.4229078170327394</v>
      </c>
      <c r="F16" s="842">
        <f>Datos!$K$78*'ISR Enaje'!E16/100</f>
        <v>498017.73596145876</v>
      </c>
      <c r="G16" s="843">
        <f>'Predial y Agua'!D16</f>
        <v>11883725</v>
      </c>
      <c r="H16" s="844">
        <f>'Predial y Agua'!G16</f>
        <v>12844378</v>
      </c>
      <c r="I16" s="840">
        <f t="shared" si="3"/>
        <v>1.0808377003002005</v>
      </c>
      <c r="J16" s="840">
        <f t="shared" si="4"/>
        <v>5.3238324825954564</v>
      </c>
      <c r="K16" s="849">
        <f t="shared" si="5"/>
        <v>1.5971497447786369</v>
      </c>
      <c r="L16" s="845">
        <f>Datos!$K$78*'ISR Enaje'!K16/100</f>
        <v>559002.41067252296</v>
      </c>
      <c r="M16" s="850">
        <f t="shared" si="6"/>
        <v>1057020.1466339817</v>
      </c>
      <c r="N16" s="849">
        <f t="shared" si="7"/>
        <v>3.0200575618113765</v>
      </c>
      <c r="O16" s="849">
        <f t="shared" si="8"/>
        <v>0.3311195166095503</v>
      </c>
      <c r="P16" s="849">
        <f t="shared" si="9"/>
        <v>5.2451935357677009</v>
      </c>
      <c r="Q16" s="849">
        <f t="shared" si="10"/>
        <v>0.52451935357677015</v>
      </c>
      <c r="R16" s="847">
        <f t="shared" si="11"/>
        <v>183581.77375186954</v>
      </c>
      <c r="S16" s="848">
        <f t="shared" si="12"/>
        <v>1240601.9203858513</v>
      </c>
      <c r="T16" s="92">
        <f t="shared" si="13"/>
        <v>3.5445769153881468</v>
      </c>
      <c r="U16" s="93"/>
      <c r="V16" s="94">
        <v>1.5455894402307131</v>
      </c>
      <c r="W16" s="94">
        <f t="shared" si="0"/>
        <v>-0.46475173993051255</v>
      </c>
      <c r="Y16" s="93"/>
      <c r="Z16" s="95"/>
      <c r="AA16" s="93"/>
      <c r="AB16" s="93"/>
    </row>
    <row r="17" spans="2:28" s="5" customFormat="1" ht="16.5" customHeight="1" x14ac:dyDescent="0.25">
      <c r="B17" s="838" t="s">
        <v>53</v>
      </c>
      <c r="C17" s="839">
        <f>'CENSO 2020'!C18</f>
        <v>19321</v>
      </c>
      <c r="D17" s="840">
        <f t="shared" si="1"/>
        <v>1.563876010153336</v>
      </c>
      <c r="E17" s="841">
        <f t="shared" si="2"/>
        <v>0.93832560609200155</v>
      </c>
      <c r="F17" s="842">
        <f>Datos!$K$78*'ISR Enaje'!E17/100</f>
        <v>328413.96213220054</v>
      </c>
      <c r="G17" s="843">
        <f>'Predial y Agua'!D17</f>
        <v>4290832</v>
      </c>
      <c r="H17" s="844">
        <f>'Predial y Agua'!G17</f>
        <v>3780718</v>
      </c>
      <c r="I17" s="840">
        <f t="shared" si="3"/>
        <v>0.88111536410654157</v>
      </c>
      <c r="J17" s="840">
        <f t="shared" si="4"/>
        <v>4.3400693693802852</v>
      </c>
      <c r="K17" s="849">
        <f t="shared" si="5"/>
        <v>1.3020208108140856</v>
      </c>
      <c r="L17" s="845">
        <f>Datos!$K$78*'ISR Enaje'!K17/100</f>
        <v>455707.28378492995</v>
      </c>
      <c r="M17" s="850">
        <f t="shared" si="6"/>
        <v>784121.24591713049</v>
      </c>
      <c r="N17" s="849">
        <f t="shared" si="7"/>
        <v>2.2403464169060872</v>
      </c>
      <c r="O17" s="849">
        <f t="shared" si="8"/>
        <v>0.44635954174488673</v>
      </c>
      <c r="P17" s="849">
        <f t="shared" si="9"/>
        <v>7.0706861587662333</v>
      </c>
      <c r="Q17" s="849">
        <f t="shared" si="10"/>
        <v>0.7070686158766234</v>
      </c>
      <c r="R17" s="847">
        <f t="shared" si="11"/>
        <v>247474.01555681817</v>
      </c>
      <c r="S17" s="848">
        <f t="shared" si="12"/>
        <v>1031595.2614739486</v>
      </c>
      <c r="T17" s="92">
        <f t="shared" si="13"/>
        <v>2.9474150327827107</v>
      </c>
      <c r="U17" s="93"/>
      <c r="V17" s="94">
        <v>1.3217513416832607</v>
      </c>
      <c r="W17" s="94">
        <f t="shared" si="0"/>
        <v>-0.44063597757671913</v>
      </c>
      <c r="Y17" s="93"/>
      <c r="Z17" s="95"/>
      <c r="AA17" s="93"/>
      <c r="AB17" s="93"/>
    </row>
    <row r="18" spans="2:28" s="5" customFormat="1" ht="16.5" customHeight="1" x14ac:dyDescent="0.25">
      <c r="B18" s="838" t="s">
        <v>54</v>
      </c>
      <c r="C18" s="839">
        <f>'CENSO 2020'!C19</f>
        <v>13719</v>
      </c>
      <c r="D18" s="840">
        <f t="shared" si="1"/>
        <v>1.1104401937422297</v>
      </c>
      <c r="E18" s="841">
        <f t="shared" si="2"/>
        <v>0.66626411624533777</v>
      </c>
      <c r="F18" s="842">
        <f>Datos!$K$78*'ISR Enaje'!E18/100</f>
        <v>233192.44068586823</v>
      </c>
      <c r="G18" s="843">
        <f>'Predial y Agua'!D18</f>
        <v>561068</v>
      </c>
      <c r="H18" s="844">
        <f>'Predial y Agua'!G18</f>
        <v>692496</v>
      </c>
      <c r="I18" s="840">
        <f t="shared" si="3"/>
        <v>1.2342461163352749</v>
      </c>
      <c r="J18" s="840">
        <f t="shared" si="4"/>
        <v>6.0794692522642091</v>
      </c>
      <c r="K18" s="849">
        <f t="shared" si="5"/>
        <v>1.8238407756792627</v>
      </c>
      <c r="L18" s="845">
        <f>Datos!$K$78*'ISR Enaje'!K18/100</f>
        <v>638344.27148774196</v>
      </c>
      <c r="M18" s="850">
        <f t="shared" si="6"/>
        <v>871536.71217361023</v>
      </c>
      <c r="N18" s="849">
        <f t="shared" si="7"/>
        <v>2.4901048919246005</v>
      </c>
      <c r="O18" s="849">
        <f t="shared" si="8"/>
        <v>0.40158950863595977</v>
      </c>
      <c r="P18" s="849">
        <f t="shared" si="9"/>
        <v>6.3614936271283176</v>
      </c>
      <c r="Q18" s="849">
        <f t="shared" si="10"/>
        <v>0.63614936271283185</v>
      </c>
      <c r="R18" s="847">
        <f t="shared" si="11"/>
        <v>222652.27694949112</v>
      </c>
      <c r="S18" s="848">
        <f t="shared" si="12"/>
        <v>1094188.9891231013</v>
      </c>
      <c r="T18" s="92">
        <f t="shared" si="13"/>
        <v>3.1262542546374323</v>
      </c>
      <c r="U18" s="93"/>
      <c r="V18" s="94">
        <v>1.0641937928415424</v>
      </c>
      <c r="W18" s="94">
        <f t="shared" si="0"/>
        <v>0.17005232349373256</v>
      </c>
      <c r="Y18" s="93"/>
      <c r="Z18" s="95"/>
      <c r="AA18" s="93"/>
      <c r="AB18" s="93"/>
    </row>
    <row r="19" spans="2:28" s="5" customFormat="1" ht="16.5" customHeight="1" x14ac:dyDescent="0.25">
      <c r="B19" s="838" t="s">
        <v>55</v>
      </c>
      <c r="C19" s="839">
        <f>'CENSO 2020'!C20</f>
        <v>33567</v>
      </c>
      <c r="D19" s="840">
        <f t="shared" si="1"/>
        <v>2.7169725186489848</v>
      </c>
      <c r="E19" s="841">
        <f t="shared" si="2"/>
        <v>1.6301835111893908</v>
      </c>
      <c r="F19" s="842">
        <f>Datos!$K$78*'ISR Enaje'!E19/100</f>
        <v>570564.22891628672</v>
      </c>
      <c r="G19" s="843">
        <f>'Predial y Agua'!D19</f>
        <v>2522032</v>
      </c>
      <c r="H19" s="844">
        <f>'Predial y Agua'!G19</f>
        <v>2398188</v>
      </c>
      <c r="I19" s="840">
        <f t="shared" si="3"/>
        <v>0.95089515121140411</v>
      </c>
      <c r="J19" s="840">
        <f t="shared" si="4"/>
        <v>4.6837804530279792</v>
      </c>
      <c r="K19" s="849">
        <f t="shared" si="5"/>
        <v>1.4051341359083938</v>
      </c>
      <c r="L19" s="845">
        <f>Datos!$K$78*'ISR Enaje'!K19/100</f>
        <v>491796.94756793784</v>
      </c>
      <c r="M19" s="850">
        <f t="shared" si="6"/>
        <v>1062361.1764842246</v>
      </c>
      <c r="N19" s="849">
        <f t="shared" si="7"/>
        <v>3.0353176470977843</v>
      </c>
      <c r="O19" s="849">
        <f t="shared" si="8"/>
        <v>0.32945481042359731</v>
      </c>
      <c r="P19" s="849">
        <f t="shared" si="9"/>
        <v>5.2188232806558297</v>
      </c>
      <c r="Q19" s="849">
        <f t="shared" si="10"/>
        <v>0.52188232806558299</v>
      </c>
      <c r="R19" s="847">
        <f t="shared" si="11"/>
        <v>182658.81482295404</v>
      </c>
      <c r="S19" s="848">
        <f t="shared" si="12"/>
        <v>1245019.9913071787</v>
      </c>
      <c r="T19" s="92">
        <f t="shared" si="13"/>
        <v>3.5571999751633672</v>
      </c>
      <c r="U19" s="93"/>
      <c r="V19" s="94">
        <v>0.85819469233584766</v>
      </c>
      <c r="W19" s="94">
        <f t="shared" si="0"/>
        <v>9.2700458875556446E-2</v>
      </c>
      <c r="Y19" s="93"/>
      <c r="Z19" s="95"/>
      <c r="AA19" s="93"/>
      <c r="AB19" s="93"/>
    </row>
    <row r="20" spans="2:28" s="5" customFormat="1" ht="16.5" customHeight="1" x14ac:dyDescent="0.25">
      <c r="B20" s="838" t="s">
        <v>56</v>
      </c>
      <c r="C20" s="839">
        <f>'CENSO 2020'!C21</f>
        <v>24096</v>
      </c>
      <c r="D20" s="840">
        <f t="shared" si="1"/>
        <v>1.9503729796933278</v>
      </c>
      <c r="E20" s="841">
        <f t="shared" si="2"/>
        <v>1.1702237878159967</v>
      </c>
      <c r="F20" s="842">
        <f>Datos!$K$78*'ISR Enaje'!E20/100</f>
        <v>409578.3257355988</v>
      </c>
      <c r="G20" s="843">
        <f>'Predial y Agua'!D20</f>
        <v>3423553</v>
      </c>
      <c r="H20" s="844">
        <f>'Predial y Agua'!G20</f>
        <v>3362045</v>
      </c>
      <c r="I20" s="840">
        <f t="shared" si="3"/>
        <v>0.982033869491724</v>
      </c>
      <c r="J20" s="840">
        <f t="shared" si="4"/>
        <v>4.8371590035736451</v>
      </c>
      <c r="K20" s="849">
        <f t="shared" si="5"/>
        <v>1.4511477010720935</v>
      </c>
      <c r="L20" s="845">
        <f>Datos!$K$78*'ISR Enaje'!K20/100</f>
        <v>507901.69537523272</v>
      </c>
      <c r="M20" s="850">
        <f t="shared" si="6"/>
        <v>917480.02111083153</v>
      </c>
      <c r="N20" s="849">
        <f t="shared" si="7"/>
        <v>2.6213714888880899</v>
      </c>
      <c r="O20" s="849">
        <f t="shared" si="8"/>
        <v>0.38147969650199071</v>
      </c>
      <c r="P20" s="849">
        <f t="shared" si="9"/>
        <v>6.0429383885527033</v>
      </c>
      <c r="Q20" s="849">
        <f t="shared" si="10"/>
        <v>0.60429383885527033</v>
      </c>
      <c r="R20" s="847">
        <f t="shared" si="11"/>
        <v>211502.8435993446</v>
      </c>
      <c r="S20" s="848">
        <f t="shared" si="12"/>
        <v>1128982.8647101761</v>
      </c>
      <c r="T20" s="92">
        <f t="shared" si="13"/>
        <v>3.2256653277433602</v>
      </c>
      <c r="U20" s="93"/>
      <c r="V20" s="94">
        <v>0.30847701853884074</v>
      </c>
      <c r="W20" s="94">
        <f t="shared" si="0"/>
        <v>0.67355685095288331</v>
      </c>
      <c r="Y20" s="93"/>
      <c r="Z20" s="95"/>
      <c r="AA20" s="93"/>
      <c r="AB20" s="93"/>
    </row>
    <row r="21" spans="2:28" s="5" customFormat="1" ht="16.5" customHeight="1" x14ac:dyDescent="0.25">
      <c r="B21" s="838" t="s">
        <v>57</v>
      </c>
      <c r="C21" s="839">
        <f>'CENSO 2020'!C22</f>
        <v>41518</v>
      </c>
      <c r="D21" s="840">
        <f t="shared" si="1"/>
        <v>3.3605405615416495</v>
      </c>
      <c r="E21" s="841">
        <f t="shared" si="2"/>
        <v>2.0163243369249897</v>
      </c>
      <c r="F21" s="842">
        <f>Datos!$K$78*'ISR Enaje'!E21/100</f>
        <v>705713.51792374637</v>
      </c>
      <c r="G21" s="843">
        <f>'Predial y Agua'!D21</f>
        <v>5209406</v>
      </c>
      <c r="H21" s="844">
        <f>'Predial y Agua'!G21</f>
        <v>5040672</v>
      </c>
      <c r="I21" s="840">
        <f t="shared" si="3"/>
        <v>0.96760974283824297</v>
      </c>
      <c r="J21" s="840">
        <f t="shared" si="4"/>
        <v>4.7661107472169828</v>
      </c>
      <c r="K21" s="849">
        <f t="shared" si="5"/>
        <v>1.4298332241650948</v>
      </c>
      <c r="L21" s="845">
        <f>Datos!$K$78*'ISR Enaje'!K21/100</f>
        <v>500441.62845778314</v>
      </c>
      <c r="M21" s="850">
        <f t="shared" si="6"/>
        <v>1206155.1463815295</v>
      </c>
      <c r="N21" s="849">
        <f t="shared" si="7"/>
        <v>3.4461575610900845</v>
      </c>
      <c r="O21" s="849">
        <f t="shared" si="8"/>
        <v>0.29017825861789126</v>
      </c>
      <c r="P21" s="849">
        <f t="shared" si="9"/>
        <v>4.5966518129393519</v>
      </c>
      <c r="Q21" s="849">
        <f t="shared" si="10"/>
        <v>0.45966518129393519</v>
      </c>
      <c r="R21" s="847">
        <f t="shared" si="11"/>
        <v>160882.81345287731</v>
      </c>
      <c r="S21" s="848">
        <f t="shared" si="12"/>
        <v>1367037.9598344069</v>
      </c>
      <c r="T21" s="92">
        <f t="shared" si="13"/>
        <v>3.9058227423840197</v>
      </c>
      <c r="U21" s="93"/>
      <c r="V21" s="94">
        <v>0.9189459125639704</v>
      </c>
      <c r="W21" s="94">
        <f t="shared" si="0"/>
        <v>4.8663830274272568E-2</v>
      </c>
      <c r="Y21" s="93"/>
      <c r="Z21" s="95"/>
      <c r="AA21" s="93"/>
      <c r="AB21" s="93"/>
    </row>
    <row r="22" spans="2:28" s="5" customFormat="1" ht="16.5" customHeight="1" x14ac:dyDescent="0.25">
      <c r="B22" s="838" t="s">
        <v>58</v>
      </c>
      <c r="C22" s="839">
        <f>'CENSO 2020'!C23</f>
        <v>7683</v>
      </c>
      <c r="D22" s="840">
        <f t="shared" si="1"/>
        <v>0.62187564753418989</v>
      </c>
      <c r="E22" s="841">
        <f t="shared" si="2"/>
        <v>0.37312538852051391</v>
      </c>
      <c r="F22" s="842">
        <f>Datos!$K$78*'ISR Enaje'!E22/100</f>
        <v>130593.88598217987</v>
      </c>
      <c r="G22" s="843">
        <f>'Predial y Agua'!D22</f>
        <v>2088284</v>
      </c>
      <c r="H22" s="844">
        <f>'Predial y Agua'!G22</f>
        <v>1848192</v>
      </c>
      <c r="I22" s="840">
        <f t="shared" si="3"/>
        <v>0.88502904777319558</v>
      </c>
      <c r="J22" s="840">
        <f t="shared" si="4"/>
        <v>4.3593468207731707</v>
      </c>
      <c r="K22" s="849">
        <f t="shared" si="5"/>
        <v>1.3078040462319511</v>
      </c>
      <c r="L22" s="845">
        <f>Datos!$K$78*'ISR Enaje'!K22/100</f>
        <v>457731.41618118284</v>
      </c>
      <c r="M22" s="850">
        <f t="shared" si="6"/>
        <v>588325.30216336274</v>
      </c>
      <c r="N22" s="849">
        <f t="shared" si="7"/>
        <v>1.680929434752465</v>
      </c>
      <c r="O22" s="849">
        <f t="shared" si="8"/>
        <v>0.59490897079047267</v>
      </c>
      <c r="P22" s="849">
        <f t="shared" si="9"/>
        <v>9.4238259342469775</v>
      </c>
      <c r="Q22" s="849">
        <f t="shared" si="10"/>
        <v>0.94238259342469777</v>
      </c>
      <c r="R22" s="847">
        <f t="shared" si="11"/>
        <v>329833.90769864421</v>
      </c>
      <c r="S22" s="848">
        <f t="shared" si="12"/>
        <v>918159.20986200694</v>
      </c>
      <c r="T22" s="92">
        <f t="shared" si="13"/>
        <v>2.6233120281771627</v>
      </c>
      <c r="U22" s="93"/>
      <c r="V22" s="94">
        <v>0.95554775379956836</v>
      </c>
      <c r="W22" s="94">
        <f t="shared" si="0"/>
        <v>-7.0518706026372779E-2</v>
      </c>
      <c r="Y22" s="93"/>
      <c r="Z22" s="95"/>
      <c r="AA22" s="93"/>
      <c r="AB22" s="93"/>
    </row>
    <row r="23" spans="2:28" s="5" customFormat="1" ht="16.5" customHeight="1" x14ac:dyDescent="0.25">
      <c r="B23" s="838" t="s">
        <v>59</v>
      </c>
      <c r="C23" s="839">
        <f>'CENSO 2020'!C24</f>
        <v>24911</v>
      </c>
      <c r="D23" s="840">
        <f t="shared" si="1"/>
        <v>2.0163405252797348</v>
      </c>
      <c r="E23" s="841">
        <f t="shared" si="2"/>
        <v>1.2098043151678408</v>
      </c>
      <c r="F23" s="842">
        <f>Datos!$K$78*'ISR Enaje'!E23/100</f>
        <v>423431.51030874433</v>
      </c>
      <c r="G23" s="843">
        <f>'Predial y Agua'!D23</f>
        <v>2820618</v>
      </c>
      <c r="H23" s="844">
        <f>'Predial y Agua'!G23</f>
        <v>3282568</v>
      </c>
      <c r="I23" s="840">
        <f t="shared" si="3"/>
        <v>1.1637761653651788</v>
      </c>
      <c r="J23" s="840">
        <f t="shared" si="4"/>
        <v>5.7323586602508998</v>
      </c>
      <c r="K23" s="849">
        <f t="shared" si="5"/>
        <v>1.7197075980752698</v>
      </c>
      <c r="L23" s="845">
        <f>Datos!$K$78*'ISR Enaje'!K23/100</f>
        <v>601897.65932634438</v>
      </c>
      <c r="M23" s="850">
        <f t="shared" si="6"/>
        <v>1025329.1696350886</v>
      </c>
      <c r="N23" s="849">
        <f t="shared" si="7"/>
        <v>2.9295119132431107</v>
      </c>
      <c r="O23" s="849">
        <f t="shared" si="8"/>
        <v>0.34135379189939935</v>
      </c>
      <c r="P23" s="849">
        <f t="shared" si="9"/>
        <v>5.4073125046017925</v>
      </c>
      <c r="Q23" s="849">
        <f t="shared" si="10"/>
        <v>0.54073125046017922</v>
      </c>
      <c r="R23" s="847">
        <f t="shared" si="11"/>
        <v>189255.93766106275</v>
      </c>
      <c r="S23" s="848">
        <f t="shared" si="12"/>
        <v>1214585.1072961513</v>
      </c>
      <c r="T23" s="92">
        <f t="shared" si="13"/>
        <v>3.47024316370329</v>
      </c>
      <c r="U23" s="93"/>
      <c r="V23" s="94">
        <v>1.699762368686244</v>
      </c>
      <c r="W23" s="94">
        <f t="shared" si="0"/>
        <v>-0.53598620332106517</v>
      </c>
      <c r="Y23" s="93"/>
      <c r="Z23" s="95"/>
      <c r="AA23" s="93"/>
      <c r="AB23" s="93"/>
    </row>
    <row r="24" spans="2:28" s="5" customFormat="1" ht="16.5" customHeight="1" x14ac:dyDescent="0.25">
      <c r="B24" s="838" t="s">
        <v>60</v>
      </c>
      <c r="C24" s="839">
        <f>'CENSO 2020'!C25</f>
        <v>93981</v>
      </c>
      <c r="D24" s="840">
        <f t="shared" si="1"/>
        <v>7.6069888365105687</v>
      </c>
      <c r="E24" s="841">
        <f t="shared" si="2"/>
        <v>4.5641933019063412</v>
      </c>
      <c r="F24" s="842">
        <f>Datos!$K$78*'ISR Enaje'!E24/100</f>
        <v>1597467.6556672195</v>
      </c>
      <c r="G24" s="843">
        <f>'Predial y Agua'!D24</f>
        <v>17843967</v>
      </c>
      <c r="H24" s="844">
        <f>'Predial y Agua'!G24</f>
        <v>16581584</v>
      </c>
      <c r="I24" s="840">
        <f t="shared" si="3"/>
        <v>0.92925435246545796</v>
      </c>
      <c r="J24" s="840">
        <f t="shared" si="4"/>
        <v>4.5771853673079121</v>
      </c>
      <c r="K24" s="849">
        <f t="shared" si="5"/>
        <v>1.3731556101923736</v>
      </c>
      <c r="L24" s="845">
        <f>Datos!$K$78*'ISR Enaje'!K24/100</f>
        <v>480604.46356733073</v>
      </c>
      <c r="M24" s="850">
        <f t="shared" si="6"/>
        <v>2078072.1192345503</v>
      </c>
      <c r="N24" s="849">
        <f t="shared" si="7"/>
        <v>5.9373489120987148</v>
      </c>
      <c r="O24" s="849">
        <f t="shared" si="8"/>
        <v>0.16842533844731103</v>
      </c>
      <c r="P24" s="849">
        <f t="shared" si="9"/>
        <v>2.6679898108363056</v>
      </c>
      <c r="Q24" s="849">
        <f t="shared" si="10"/>
        <v>0.26679898108363059</v>
      </c>
      <c r="R24" s="847">
        <f t="shared" si="11"/>
        <v>93379.643379270696</v>
      </c>
      <c r="S24" s="848">
        <f t="shared" si="12"/>
        <v>2171451.7626138208</v>
      </c>
      <c r="T24" s="92">
        <f t="shared" si="13"/>
        <v>6.2041478931823457</v>
      </c>
      <c r="U24" s="93"/>
      <c r="V24" s="94">
        <v>1.2135546261977699</v>
      </c>
      <c r="W24" s="94">
        <f t="shared" si="0"/>
        <v>-0.28430027373231193</v>
      </c>
      <c r="Y24" s="93"/>
      <c r="Z24" s="95"/>
      <c r="AA24" s="93"/>
      <c r="AB24" s="93"/>
    </row>
    <row r="25" spans="2:28" s="5" customFormat="1" ht="16.5" customHeight="1" x14ac:dyDescent="0.25">
      <c r="B25" s="838" t="s">
        <v>61</v>
      </c>
      <c r="C25" s="839">
        <f>'CENSO 2020'!C26</f>
        <v>37135</v>
      </c>
      <c r="D25" s="840">
        <f t="shared" si="1"/>
        <v>3.0057727673021133</v>
      </c>
      <c r="E25" s="841">
        <f t="shared" si="2"/>
        <v>1.8034636603812679</v>
      </c>
      <c r="F25" s="842">
        <f>Datos!$K$78*'ISR Enaje'!E25/100</f>
        <v>631212.28113344382</v>
      </c>
      <c r="G25" s="843">
        <f>'Predial y Agua'!D25</f>
        <v>4883574</v>
      </c>
      <c r="H25" s="844">
        <f>'Predial y Agua'!G25</f>
        <v>5174485</v>
      </c>
      <c r="I25" s="840">
        <f t="shared" si="3"/>
        <v>1.0595692826606089</v>
      </c>
      <c r="J25" s="840">
        <f t="shared" si="4"/>
        <v>5.2190716173410205</v>
      </c>
      <c r="K25" s="849">
        <f t="shared" si="5"/>
        <v>1.565721485202306</v>
      </c>
      <c r="L25" s="845">
        <f>Datos!$K$78*'ISR Enaje'!K25/100</f>
        <v>548002.51982080715</v>
      </c>
      <c r="M25" s="850">
        <f t="shared" si="6"/>
        <v>1179214.8009542511</v>
      </c>
      <c r="N25" s="849">
        <f t="shared" si="7"/>
        <v>3.369185145583574</v>
      </c>
      <c r="O25" s="849">
        <f t="shared" si="8"/>
        <v>0.29680767211942305</v>
      </c>
      <c r="P25" s="849">
        <f t="shared" si="9"/>
        <v>4.7016669361800902</v>
      </c>
      <c r="Q25" s="849">
        <f t="shared" si="10"/>
        <v>0.47016669361800906</v>
      </c>
      <c r="R25" s="847">
        <f t="shared" si="11"/>
        <v>164558.34276630316</v>
      </c>
      <c r="S25" s="848">
        <f t="shared" si="12"/>
        <v>1343773.1437205542</v>
      </c>
      <c r="T25" s="92">
        <f t="shared" si="13"/>
        <v>3.8393518392015831</v>
      </c>
      <c r="U25" s="93"/>
      <c r="V25" s="94">
        <v>0.93743913529070699</v>
      </c>
      <c r="W25" s="94">
        <f t="shared" si="0"/>
        <v>0.12213014736990191</v>
      </c>
      <c r="Y25" s="93"/>
      <c r="Z25" s="95"/>
      <c r="AA25" s="93"/>
      <c r="AB25" s="93"/>
    </row>
    <row r="26" spans="2:28" s="5" customFormat="1" ht="16.5" customHeight="1" x14ac:dyDescent="0.25">
      <c r="B26" s="838" t="s">
        <v>62</v>
      </c>
      <c r="C26" s="839">
        <f>'CENSO 2020'!C27</f>
        <v>425924</v>
      </c>
      <c r="D26" s="840">
        <f t="shared" si="1"/>
        <v>34.475044032324909</v>
      </c>
      <c r="E26" s="841">
        <f t="shared" si="2"/>
        <v>20.685026419394944</v>
      </c>
      <c r="F26" s="842">
        <f>Datos!$K$78*'ISR Enaje'!E26/100</f>
        <v>7239759.2467882298</v>
      </c>
      <c r="G26" s="843">
        <f>'Predial y Agua'!D26</f>
        <v>288565311</v>
      </c>
      <c r="H26" s="844">
        <f>'Predial y Agua'!G26</f>
        <v>266520773</v>
      </c>
      <c r="I26" s="840">
        <f t="shared" si="3"/>
        <v>0.92360641712752511</v>
      </c>
      <c r="J26" s="840">
        <f t="shared" si="4"/>
        <v>4.5493655923284368</v>
      </c>
      <c r="K26" s="849">
        <f t="shared" si="5"/>
        <v>1.364809677698531</v>
      </c>
      <c r="L26" s="845">
        <f>Datos!$K$78*'ISR Enaje'!K26/100</f>
        <v>477683.38719448587</v>
      </c>
      <c r="M26" s="850">
        <f t="shared" si="6"/>
        <v>7717442.6339827161</v>
      </c>
      <c r="N26" s="849">
        <f t="shared" si="7"/>
        <v>22.049836097093475</v>
      </c>
      <c r="O26" s="849">
        <f t="shared" si="8"/>
        <v>4.5351811033725375E-2</v>
      </c>
      <c r="P26" s="849">
        <f t="shared" si="9"/>
        <v>0.71840835147738202</v>
      </c>
      <c r="Q26" s="849">
        <f t="shared" si="10"/>
        <v>7.1840835147738202E-2</v>
      </c>
      <c r="R26" s="847">
        <f t="shared" si="11"/>
        <v>25144.29230170837</v>
      </c>
      <c r="S26" s="848">
        <f t="shared" si="12"/>
        <v>7742586.926284425</v>
      </c>
      <c r="T26" s="92">
        <f t="shared" si="13"/>
        <v>22.121676932241215</v>
      </c>
      <c r="U26" s="93"/>
      <c r="V26" s="94">
        <v>0.78971025252641724</v>
      </c>
      <c r="W26" s="94">
        <f t="shared" si="0"/>
        <v>0.13389616460110787</v>
      </c>
      <c r="Y26" s="93"/>
      <c r="Z26" s="95"/>
      <c r="AA26" s="93"/>
      <c r="AB26" s="93"/>
    </row>
    <row r="27" spans="2:28" s="5" customFormat="1" ht="16.5" customHeight="1" x14ac:dyDescent="0.25">
      <c r="B27" s="838" t="s">
        <v>63</v>
      </c>
      <c r="C27" s="839">
        <f>'CENSO 2020'!C28</f>
        <v>30064</v>
      </c>
      <c r="D27" s="840">
        <f t="shared" si="1"/>
        <v>2.4334334852880231</v>
      </c>
      <c r="E27" s="841">
        <f t="shared" si="2"/>
        <v>1.4600600911728139</v>
      </c>
      <c r="F27" s="842">
        <f>Datos!$K$78*'ISR Enaje'!E27/100</f>
        <v>511021.03191048489</v>
      </c>
      <c r="G27" s="843">
        <f>'Predial y Agua'!D27</f>
        <v>3116609</v>
      </c>
      <c r="H27" s="844">
        <f>'Predial y Agua'!G27</f>
        <v>3902448</v>
      </c>
      <c r="I27" s="840">
        <f t="shared" si="3"/>
        <v>1.2521455209812973</v>
      </c>
      <c r="J27" s="840">
        <f t="shared" si="4"/>
        <v>6.1676355253754691</v>
      </c>
      <c r="K27" s="849">
        <f t="shared" si="5"/>
        <v>1.8502906576126406</v>
      </c>
      <c r="L27" s="845">
        <f>Datos!$K$78*'ISR Enaje'!K27/100</f>
        <v>647601.73016442417</v>
      </c>
      <c r="M27" s="850">
        <f t="shared" si="6"/>
        <v>1158622.7620749092</v>
      </c>
      <c r="N27" s="849">
        <f t="shared" si="7"/>
        <v>3.3103507487854547</v>
      </c>
      <c r="O27" s="849">
        <f t="shared" si="8"/>
        <v>0.30208279299916879</v>
      </c>
      <c r="P27" s="849">
        <f t="shared" si="9"/>
        <v>4.7852289992748567</v>
      </c>
      <c r="Q27" s="849">
        <f t="shared" si="10"/>
        <v>0.4785228999274857</v>
      </c>
      <c r="R27" s="847">
        <f t="shared" si="11"/>
        <v>167483.01497461999</v>
      </c>
      <c r="S27" s="848">
        <f t="shared" si="12"/>
        <v>1326105.7770495291</v>
      </c>
      <c r="T27" s="92">
        <f t="shared" si="13"/>
        <v>3.7888736487129404</v>
      </c>
      <c r="U27" s="93"/>
      <c r="V27" s="94">
        <v>1.0987404654646735</v>
      </c>
      <c r="W27" s="94">
        <f t="shared" si="0"/>
        <v>0.15340505551662376</v>
      </c>
      <c r="Y27" s="93"/>
      <c r="Z27" s="95"/>
      <c r="AA27" s="93"/>
      <c r="AB27" s="93"/>
    </row>
    <row r="28" spans="2:28" s="5" customFormat="1" ht="16.5" customHeight="1" thickBot="1" x14ac:dyDescent="0.3">
      <c r="B28" s="851" t="s">
        <v>64</v>
      </c>
      <c r="C28" s="839">
        <f>'CENSO 2020'!C29</f>
        <v>65229</v>
      </c>
      <c r="D28" s="852">
        <f t="shared" si="1"/>
        <v>5.2797509583506006</v>
      </c>
      <c r="E28" s="853">
        <f t="shared" si="2"/>
        <v>3.1678505750103603</v>
      </c>
      <c r="F28" s="842">
        <f>Datos!$K$78*'ISR Enaje'!E28/100</f>
        <v>1108747.701253626</v>
      </c>
      <c r="G28" s="843">
        <f>'Predial y Agua'!D28</f>
        <v>45690433</v>
      </c>
      <c r="H28" s="844">
        <f>'Predial y Agua'!G28</f>
        <v>40126137</v>
      </c>
      <c r="I28" s="852">
        <f t="shared" si="3"/>
        <v>0.87821748154586321</v>
      </c>
      <c r="J28" s="852">
        <f t="shared" si="4"/>
        <v>4.3257954027125782</v>
      </c>
      <c r="K28" s="854">
        <f t="shared" si="5"/>
        <v>1.2977386208137733</v>
      </c>
      <c r="L28" s="845">
        <f>Datos!$K$78*'ISR Enaje'!K28/100</f>
        <v>454208.51728482067</v>
      </c>
      <c r="M28" s="855">
        <f t="shared" si="6"/>
        <v>1562956.2185384468</v>
      </c>
      <c r="N28" s="854">
        <f t="shared" si="7"/>
        <v>4.4655891958241334</v>
      </c>
      <c r="O28" s="854">
        <f t="shared" si="8"/>
        <v>0.22393461560125619</v>
      </c>
      <c r="P28" s="854">
        <f t="shared" si="9"/>
        <v>3.5473004134980548</v>
      </c>
      <c r="Q28" s="854">
        <f t="shared" si="10"/>
        <v>0.35473004134980551</v>
      </c>
      <c r="R28" s="856">
        <f t="shared" si="11"/>
        <v>124155.51447243191</v>
      </c>
      <c r="S28" s="848">
        <f t="shared" si="12"/>
        <v>1687111.7330108788</v>
      </c>
      <c r="T28" s="92">
        <f t="shared" si="13"/>
        <v>4.8203192371739387</v>
      </c>
      <c r="U28" s="93"/>
      <c r="V28" s="94">
        <v>1.0459205946760619</v>
      </c>
      <c r="W28" s="94">
        <f t="shared" si="0"/>
        <v>-0.1677031131301987</v>
      </c>
      <c r="Y28" s="93"/>
      <c r="Z28" s="95"/>
      <c r="AA28" s="93"/>
      <c r="AB28" s="93"/>
    </row>
    <row r="29" spans="2:28" s="5" customFormat="1" ht="16.5" customHeight="1" thickBot="1" x14ac:dyDescent="0.3">
      <c r="B29" s="100" t="s">
        <v>65</v>
      </c>
      <c r="C29" s="857">
        <f>SUM(C9:C28)</f>
        <v>1235456</v>
      </c>
      <c r="D29" s="858">
        <f>SUM(D9:D28)</f>
        <v>100</v>
      </c>
      <c r="E29" s="859">
        <f t="shared" ref="E29:L29" si="14">SUM(E9:E28)</f>
        <v>59.999999999999993</v>
      </c>
      <c r="F29" s="860">
        <f t="shared" si="14"/>
        <v>21000000</v>
      </c>
      <c r="G29" s="860">
        <f t="shared" si="14"/>
        <v>795617286</v>
      </c>
      <c r="H29" s="860">
        <f t="shared" si="14"/>
        <v>718357273</v>
      </c>
      <c r="I29" s="861">
        <f t="shared" si="14"/>
        <v>20.30187283002703</v>
      </c>
      <c r="J29" s="862">
        <f t="shared" si="14"/>
        <v>100.00000000000001</v>
      </c>
      <c r="K29" s="859">
        <f t="shared" si="14"/>
        <v>30.000000000000004</v>
      </c>
      <c r="L29" s="863">
        <f t="shared" si="14"/>
        <v>10499999.999999998</v>
      </c>
      <c r="M29" s="360">
        <f t="shared" si="6"/>
        <v>31500000</v>
      </c>
      <c r="N29" s="864">
        <f t="shared" ref="N29:S29" si="15">SUM(N9:N28)</f>
        <v>89.999999999999986</v>
      </c>
      <c r="O29" s="864">
        <f t="shared" si="15"/>
        <v>6.3128179036979377</v>
      </c>
      <c r="P29" s="864">
        <f t="shared" si="15"/>
        <v>99.999999999999972</v>
      </c>
      <c r="Q29" s="864">
        <f t="shared" si="15"/>
        <v>9.9999999999999964</v>
      </c>
      <c r="R29" s="863">
        <f>Datos!I77</f>
        <v>3500000</v>
      </c>
      <c r="S29" s="360">
        <f t="shared" si="15"/>
        <v>35000000</v>
      </c>
      <c r="T29" s="92">
        <f>SUM(T9:T28)</f>
        <v>99.999999999999972</v>
      </c>
      <c r="U29" s="93"/>
      <c r="V29" s="94">
        <f>SUM(V9:V28)</f>
        <v>24.538698253136822</v>
      </c>
      <c r="W29" s="94"/>
      <c r="Y29" s="93"/>
      <c r="Z29" s="95"/>
      <c r="AA29" s="93"/>
      <c r="AB29" s="93"/>
    </row>
    <row r="30" spans="2:28" s="5" customFormat="1" ht="16.5" customHeight="1" x14ac:dyDescent="0.25">
      <c r="B30" s="865" t="s">
        <v>441</v>
      </c>
      <c r="C30" s="866"/>
      <c r="D30" s="867"/>
      <c r="E30" s="868"/>
      <c r="F30" s="869"/>
      <c r="G30" s="870"/>
      <c r="H30" s="871"/>
      <c r="I30" s="871"/>
      <c r="J30" s="871"/>
      <c r="K30" s="869"/>
      <c r="L30" s="872"/>
      <c r="M30" s="870"/>
      <c r="N30" s="868"/>
      <c r="O30" s="873"/>
      <c r="P30" s="872"/>
      <c r="Q30" s="872"/>
      <c r="R30" s="872"/>
      <c r="S30" s="872"/>
      <c r="T30" s="868"/>
      <c r="U30" s="873"/>
      <c r="V30" s="94"/>
      <c r="W30" s="94"/>
      <c r="Y30" s="93"/>
      <c r="Z30" s="95"/>
      <c r="AA30" s="93"/>
      <c r="AB30" s="93"/>
    </row>
    <row r="31" spans="2:28" s="5" customFormat="1" ht="23.25" customHeight="1" x14ac:dyDescent="0.25">
      <c r="B31" s="874" t="s">
        <v>326</v>
      </c>
      <c r="C31" s="1090" t="s">
        <v>442</v>
      </c>
      <c r="D31" s="1142"/>
      <c r="E31" s="1142"/>
      <c r="F31" s="1142"/>
      <c r="G31" s="1142"/>
      <c r="H31" s="1142"/>
      <c r="I31" s="1142"/>
      <c r="J31" s="1142"/>
      <c r="K31" s="1142"/>
      <c r="L31" s="1142"/>
      <c r="M31" s="1142"/>
      <c r="N31" s="1142"/>
      <c r="O31" s="1142"/>
      <c r="P31" s="1142"/>
      <c r="Q31" s="1142"/>
      <c r="R31" s="1142"/>
      <c r="S31" s="1142"/>
      <c r="T31" s="1142"/>
      <c r="U31" s="1142"/>
      <c r="W31" s="94"/>
    </row>
    <row r="32" spans="2:28" ht="15" customHeight="1" x14ac:dyDescent="0.25">
      <c r="C32" s="1142" t="s">
        <v>443</v>
      </c>
      <c r="D32" s="1142"/>
      <c r="E32" s="1142"/>
      <c r="F32" s="1142"/>
      <c r="G32" s="1142"/>
      <c r="H32" s="1142"/>
      <c r="I32" s="1142"/>
      <c r="J32" s="1142"/>
      <c r="K32" s="1142"/>
      <c r="L32" s="1142"/>
      <c r="M32" s="1142"/>
      <c r="N32" s="1142"/>
      <c r="O32" s="1142"/>
      <c r="P32" s="1142"/>
      <c r="Q32" s="1142"/>
      <c r="R32" s="1142"/>
      <c r="S32" s="1142"/>
      <c r="T32" s="1142"/>
      <c r="U32" s="1142"/>
    </row>
    <row r="33" spans="3:21" ht="15" customHeight="1" x14ac:dyDescent="0.25">
      <c r="C33" s="881"/>
      <c r="D33" s="881"/>
      <c r="E33" s="881"/>
      <c r="F33" s="881"/>
      <c r="G33" s="881"/>
      <c r="H33" s="881"/>
      <c r="I33" s="881"/>
      <c r="J33" s="881"/>
      <c r="K33" s="881"/>
      <c r="L33" s="881"/>
      <c r="M33" s="881"/>
      <c r="N33" s="881"/>
      <c r="O33" s="881"/>
      <c r="P33" s="881"/>
      <c r="Q33" s="881"/>
      <c r="R33" s="881"/>
      <c r="S33" s="881"/>
      <c r="T33" s="881"/>
      <c r="U33" s="881"/>
    </row>
    <row r="34" spans="3:21" ht="15" customHeight="1" x14ac:dyDescent="0.25">
      <c r="C34" s="881"/>
      <c r="D34" s="881"/>
      <c r="E34" s="881"/>
      <c r="F34" s="881"/>
      <c r="G34" s="881"/>
      <c r="H34" s="881"/>
      <c r="I34" s="881"/>
      <c r="J34" s="881"/>
      <c r="K34" s="881"/>
      <c r="L34" s="881"/>
      <c r="M34" s="881"/>
      <c r="N34" s="881"/>
      <c r="O34" s="881"/>
      <c r="P34" s="881"/>
      <c r="Q34" s="881"/>
      <c r="R34" s="881"/>
      <c r="S34" s="881"/>
    </row>
  </sheetData>
  <mergeCells count="22">
    <mergeCell ref="C31:U31"/>
    <mergeCell ref="C32:U32"/>
    <mergeCell ref="T4:T8"/>
    <mergeCell ref="D5:D6"/>
    <mergeCell ref="F5:F7"/>
    <mergeCell ref="G5:H6"/>
    <mergeCell ref="I5:I7"/>
    <mergeCell ref="J5:J7"/>
    <mergeCell ref="L5:L7"/>
    <mergeCell ref="M5:M7"/>
    <mergeCell ref="N5:N7"/>
    <mergeCell ref="O5:O7"/>
    <mergeCell ref="B1:S1"/>
    <mergeCell ref="B4:B8"/>
    <mergeCell ref="C4:F4"/>
    <mergeCell ref="G4:L4"/>
    <mergeCell ref="M4:R4"/>
    <mergeCell ref="P5:P8"/>
    <mergeCell ref="Q5:Q7"/>
    <mergeCell ref="R5:R7"/>
    <mergeCell ref="S5:S7"/>
    <mergeCell ref="B2:S2"/>
  </mergeCells>
  <pageMargins left="0.74" right="0.35" top="0.74803149606299213" bottom="0.74803149606299213" header="0.31496062992125984" footer="0.31496062992125984"/>
  <pageSetup paperSize="5" scale="5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O36"/>
  <sheetViews>
    <sheetView zoomScaleNormal="100" workbookViewId="0">
      <selection sqref="A1:O1"/>
    </sheetView>
  </sheetViews>
  <sheetFormatPr baseColWidth="10" defaultColWidth="11.42578125" defaultRowHeight="12.75" x14ac:dyDescent="0.2"/>
  <cols>
    <col min="1" max="1" width="16.85546875" style="365" customWidth="1"/>
    <col min="2" max="2" width="9.28515625" style="365" bestFit="1" customWidth="1"/>
    <col min="3" max="3" width="9.85546875" style="365" customWidth="1"/>
    <col min="4" max="5" width="10" style="365" customWidth="1"/>
    <col min="6" max="6" width="9.5703125" style="365" customWidth="1"/>
    <col min="7" max="7" width="9.42578125" style="365" customWidth="1"/>
    <col min="8" max="8" width="8.85546875" style="365" customWidth="1"/>
    <col min="9" max="9" width="9.85546875" style="365" customWidth="1"/>
    <col min="10" max="10" width="9.42578125" style="365" customWidth="1"/>
    <col min="11" max="12" width="9.7109375" style="365" customWidth="1"/>
    <col min="13" max="13" width="10.42578125" style="365" customWidth="1"/>
    <col min="14" max="14" width="10.5703125" style="365" customWidth="1"/>
    <col min="15" max="15" width="12.7109375" style="365" bestFit="1" customWidth="1"/>
    <col min="16" max="16384" width="11.42578125" style="365"/>
  </cols>
  <sheetData>
    <row r="1" spans="1:15" ht="15.75" x14ac:dyDescent="0.25">
      <c r="A1" s="1150" t="s">
        <v>277</v>
      </c>
      <c r="B1" s="1150"/>
      <c r="C1" s="1150"/>
      <c r="D1" s="1150"/>
      <c r="E1" s="1150"/>
      <c r="F1" s="1150"/>
      <c r="G1" s="1150"/>
      <c r="H1" s="1150"/>
      <c r="I1" s="1150"/>
      <c r="J1" s="1150"/>
      <c r="K1" s="1150"/>
      <c r="L1" s="1150"/>
      <c r="M1" s="1150"/>
      <c r="N1" s="1150"/>
      <c r="O1" s="1150"/>
    </row>
    <row r="2" spans="1:15" x14ac:dyDescent="0.2">
      <c r="A2" s="1151" t="s">
        <v>278</v>
      </c>
      <c r="B2" s="1151"/>
      <c r="C2" s="1151"/>
      <c r="D2" s="1151"/>
      <c r="E2" s="1151"/>
      <c r="F2" s="1151"/>
      <c r="G2" s="1151"/>
      <c r="H2" s="1151"/>
      <c r="I2" s="1151"/>
      <c r="J2" s="1151"/>
      <c r="K2" s="1151"/>
      <c r="L2" s="1151"/>
      <c r="M2" s="1151"/>
      <c r="N2" s="1151"/>
      <c r="O2" s="1151"/>
    </row>
    <row r="3" spans="1:15" x14ac:dyDescent="0.2">
      <c r="A3" s="1151" t="s">
        <v>279</v>
      </c>
      <c r="B3" s="1151"/>
      <c r="C3" s="1151"/>
      <c r="D3" s="1151"/>
      <c r="E3" s="1151"/>
      <c r="F3" s="1151"/>
      <c r="G3" s="1151"/>
      <c r="H3" s="1151"/>
      <c r="I3" s="1151"/>
      <c r="J3" s="1151"/>
      <c r="K3" s="1151"/>
      <c r="L3" s="1151"/>
      <c r="M3" s="1151"/>
      <c r="N3" s="1151"/>
      <c r="O3" s="1151"/>
    </row>
    <row r="4" spans="1:15" x14ac:dyDescent="0.2">
      <c r="A4" s="1152" t="s">
        <v>280</v>
      </c>
      <c r="B4" s="1152"/>
      <c r="C4" s="1152"/>
      <c r="D4" s="1152"/>
      <c r="E4" s="1152"/>
      <c r="F4" s="1152"/>
      <c r="G4" s="1152"/>
      <c r="H4" s="1152"/>
      <c r="I4" s="1152"/>
      <c r="J4" s="1152"/>
      <c r="K4" s="1152"/>
      <c r="L4" s="1152"/>
      <c r="M4" s="1152"/>
      <c r="N4" s="1152"/>
      <c r="O4" s="1152"/>
    </row>
    <row r="5" spans="1:15" ht="13.5" thickBot="1" x14ac:dyDescent="0.25"/>
    <row r="6" spans="1:15" ht="23.25" thickBot="1" x14ac:dyDescent="0.25">
      <c r="A6" s="366" t="s">
        <v>13</v>
      </c>
      <c r="B6" s="789" t="s">
        <v>281</v>
      </c>
      <c r="C6" s="366" t="s">
        <v>1</v>
      </c>
      <c r="D6" s="367" t="s">
        <v>2</v>
      </c>
      <c r="E6" s="366" t="s">
        <v>3</v>
      </c>
      <c r="F6" s="367" t="s">
        <v>4</v>
      </c>
      <c r="G6" s="366" t="s">
        <v>5</v>
      </c>
      <c r="H6" s="366" t="s">
        <v>6</v>
      </c>
      <c r="I6" s="366" t="s">
        <v>7</v>
      </c>
      <c r="J6" s="367" t="s">
        <v>8</v>
      </c>
      <c r="K6" s="366" t="s">
        <v>9</v>
      </c>
      <c r="L6" s="367" t="s">
        <v>10</v>
      </c>
      <c r="M6" s="366" t="s">
        <v>11</v>
      </c>
      <c r="N6" s="366" t="s">
        <v>12</v>
      </c>
      <c r="O6" s="368" t="s">
        <v>168</v>
      </c>
    </row>
    <row r="7" spans="1:15" x14ac:dyDescent="0.2">
      <c r="A7" s="369" t="s">
        <v>282</v>
      </c>
      <c r="B7" s="370">
        <v>3.9399999999999998E-2</v>
      </c>
      <c r="C7" s="371">
        <v>56963.546951054755</v>
      </c>
      <c r="D7" s="372">
        <v>86906.697217008536</v>
      </c>
      <c r="E7" s="371">
        <v>59746.246585840105</v>
      </c>
      <c r="F7" s="372">
        <v>67867.982827057887</v>
      </c>
      <c r="G7" s="371">
        <v>64660.762935787861</v>
      </c>
      <c r="H7" s="371">
        <v>67599.96159390721</v>
      </c>
      <c r="I7" s="373">
        <v>68696.572300394633</v>
      </c>
      <c r="J7" s="372">
        <v>71269.225402021868</v>
      </c>
      <c r="K7" s="371">
        <v>68949.326174828399</v>
      </c>
      <c r="L7" s="372">
        <v>67391.350673871697</v>
      </c>
      <c r="M7" s="371">
        <v>65860.428313614349</v>
      </c>
      <c r="N7" s="371">
        <v>66121.899024612852</v>
      </c>
      <c r="O7" s="374">
        <f>SUM(C7:N7)</f>
        <v>812034</v>
      </c>
    </row>
    <row r="8" spans="1:15" x14ac:dyDescent="0.2">
      <c r="A8" s="369" t="s">
        <v>147</v>
      </c>
      <c r="B8" s="375">
        <v>5.7799999999999997E-2</v>
      </c>
      <c r="C8" s="371">
        <v>83565.812532257987</v>
      </c>
      <c r="D8" s="372">
        <v>127492.56596809882</v>
      </c>
      <c r="E8" s="371">
        <v>87648.047021866951</v>
      </c>
      <c r="F8" s="372">
        <v>99562.675314820954</v>
      </c>
      <c r="G8" s="371">
        <v>94857.667454023816</v>
      </c>
      <c r="H8" s="371">
        <v>99169.486805275053</v>
      </c>
      <c r="I8" s="371">
        <v>100778.22027824391</v>
      </c>
      <c r="J8" s="372">
        <v>104552.31543748386</v>
      </c>
      <c r="K8" s="371">
        <v>101149.01149505284</v>
      </c>
      <c r="L8" s="372">
        <v>98863.453526644254</v>
      </c>
      <c r="M8" s="371">
        <v>96617.582652967249</v>
      </c>
      <c r="N8" s="371">
        <v>97001.161513264538</v>
      </c>
      <c r="O8" s="374">
        <f t="shared" ref="O8:O26" si="0">SUM(C8:N8)</f>
        <v>1191258.0000000002</v>
      </c>
    </row>
    <row r="9" spans="1:15" x14ac:dyDescent="0.2">
      <c r="A9" s="369" t="s">
        <v>148</v>
      </c>
      <c r="B9" s="375">
        <v>6.1199999999999997E-2</v>
      </c>
      <c r="C9" s="371">
        <v>88481.44856356729</v>
      </c>
      <c r="D9" s="372">
        <v>134992.12867210462</v>
      </c>
      <c r="E9" s="371">
        <v>92803.814493741476</v>
      </c>
      <c r="F9" s="372">
        <v>105419.30327451631</v>
      </c>
      <c r="G9" s="371">
        <v>100437.53024543698</v>
      </c>
      <c r="H9" s="371">
        <v>105002.98602911476</v>
      </c>
      <c r="I9" s="371">
        <v>106706.3508828465</v>
      </c>
      <c r="J9" s="372">
        <v>110702.45163968879</v>
      </c>
      <c r="K9" s="371">
        <v>107098.95334770301</v>
      </c>
      <c r="L9" s="372">
        <v>104678.95079291746</v>
      </c>
      <c r="M9" s="371">
        <v>102300.96986784769</v>
      </c>
      <c r="N9" s="371">
        <v>102707.1121905154</v>
      </c>
      <c r="O9" s="374">
        <f t="shared" si="0"/>
        <v>1261332.0000000005</v>
      </c>
    </row>
    <row r="10" spans="1:15" x14ac:dyDescent="0.2">
      <c r="A10" s="369" t="s">
        <v>283</v>
      </c>
      <c r="B10" s="375">
        <v>5.0799999999999998E-2</v>
      </c>
      <c r="C10" s="371">
        <v>73445.385408974151</v>
      </c>
      <c r="D10" s="372">
        <v>112052.28981279273</v>
      </c>
      <c r="E10" s="371">
        <v>77033.231638595869</v>
      </c>
      <c r="F10" s="372">
        <v>87504.911868389361</v>
      </c>
      <c r="G10" s="371">
        <v>83369.714648173191</v>
      </c>
      <c r="H10" s="371">
        <v>87159.341344428598</v>
      </c>
      <c r="I10" s="371">
        <v>88573.245504062128</v>
      </c>
      <c r="J10" s="372">
        <v>91890.270315297239</v>
      </c>
      <c r="K10" s="371">
        <v>88899.131210184845</v>
      </c>
      <c r="L10" s="372">
        <v>86890.370919611218</v>
      </c>
      <c r="M10" s="371">
        <v>84916.491328213437</v>
      </c>
      <c r="N10" s="371">
        <v>85253.616001277493</v>
      </c>
      <c r="O10" s="374">
        <f t="shared" si="0"/>
        <v>1046988.0000000002</v>
      </c>
    </row>
    <row r="11" spans="1:15" x14ac:dyDescent="0.2">
      <c r="A11" s="369" t="s">
        <v>150</v>
      </c>
      <c r="B11" s="375">
        <v>3.0700000000000002E-2</v>
      </c>
      <c r="C11" s="371">
        <v>44385.301812116275</v>
      </c>
      <c r="D11" s="372">
        <v>67716.63970969955</v>
      </c>
      <c r="E11" s="371">
        <v>46553.54746663176</v>
      </c>
      <c r="F11" s="372">
        <v>52881.905400778611</v>
      </c>
      <c r="G11" s="371">
        <v>50382.878734230646</v>
      </c>
      <c r="H11" s="371">
        <v>52673.066521140907</v>
      </c>
      <c r="I11" s="371">
        <v>53527.532223911563</v>
      </c>
      <c r="J11" s="372">
        <v>55532.112178732787</v>
      </c>
      <c r="K11" s="371">
        <v>53724.474963635337</v>
      </c>
      <c r="L11" s="372">
        <v>52510.519433702058</v>
      </c>
      <c r="M11" s="371">
        <v>51317.643381420326</v>
      </c>
      <c r="N11" s="371">
        <v>51521.378174000376</v>
      </c>
      <c r="O11" s="374">
        <f t="shared" si="0"/>
        <v>632727.00000000023</v>
      </c>
    </row>
    <row r="12" spans="1:15" x14ac:dyDescent="0.2">
      <c r="A12" s="369" t="s">
        <v>284</v>
      </c>
      <c r="B12" s="375">
        <v>9.5100000000000004E-2</v>
      </c>
      <c r="C12" s="371">
        <v>137493.23134632761</v>
      </c>
      <c r="D12" s="372">
        <v>209767.18033851555</v>
      </c>
      <c r="E12" s="371">
        <v>144209.84899272575</v>
      </c>
      <c r="F12" s="372">
        <v>163813.32910794936</v>
      </c>
      <c r="G12" s="371">
        <v>156072.0445480565</v>
      </c>
      <c r="H12" s="371">
        <v>163166.40476092836</v>
      </c>
      <c r="I12" s="371">
        <v>165813.30014638402</v>
      </c>
      <c r="J12" s="372">
        <v>172022.92730284977</v>
      </c>
      <c r="K12" s="371">
        <v>166423.37358442086</v>
      </c>
      <c r="L12" s="372">
        <v>162662.87941840605</v>
      </c>
      <c r="M12" s="371">
        <v>158967.68356915549</v>
      </c>
      <c r="N12" s="371">
        <v>159598.7968842813</v>
      </c>
      <c r="O12" s="374">
        <f t="shared" si="0"/>
        <v>1960011.0000000005</v>
      </c>
    </row>
    <row r="13" spans="1:15" x14ac:dyDescent="0.2">
      <c r="A13" s="369" t="s">
        <v>152</v>
      </c>
      <c r="B13" s="375">
        <v>9.3299999999999994E-2</v>
      </c>
      <c r="C13" s="371">
        <v>134890.83580034031</v>
      </c>
      <c r="D13" s="372">
        <v>205796.82361286538</v>
      </c>
      <c r="E13" s="371">
        <v>141480.32503702745</v>
      </c>
      <c r="F13" s="372">
        <v>160712.76136458124</v>
      </c>
      <c r="G13" s="371">
        <v>153117.99954083774</v>
      </c>
      <c r="H13" s="371">
        <v>160078.08164242495</v>
      </c>
      <c r="I13" s="371">
        <v>162674.87806159441</v>
      </c>
      <c r="J13" s="372">
        <v>168766.9728428589</v>
      </c>
      <c r="K13" s="371">
        <v>163273.40436831192</v>
      </c>
      <c r="L13" s="372">
        <v>159584.08674802611</v>
      </c>
      <c r="M13" s="371">
        <v>155958.83151421876</v>
      </c>
      <c r="N13" s="371">
        <v>156577.99946691317</v>
      </c>
      <c r="O13" s="374">
        <f t="shared" si="0"/>
        <v>1922913.0000000005</v>
      </c>
    </row>
    <row r="14" spans="1:15" x14ac:dyDescent="0.2">
      <c r="A14" s="369" t="s">
        <v>153</v>
      </c>
      <c r="B14" s="375">
        <v>4.5199999999999997E-2</v>
      </c>
      <c r="C14" s="371">
        <v>65349.043710347076</v>
      </c>
      <c r="D14" s="372">
        <v>99700.068888547859</v>
      </c>
      <c r="E14" s="371">
        <v>68541.379331978998</v>
      </c>
      <c r="F14" s="372">
        <v>77858.701111244067</v>
      </c>
      <c r="G14" s="371">
        <v>74179.352403492667</v>
      </c>
      <c r="H14" s="371">
        <v>77551.224975751422</v>
      </c>
      <c r="I14" s="371">
        <v>78809.265684716695</v>
      </c>
      <c r="J14" s="372">
        <v>81760.634217547937</v>
      </c>
      <c r="K14" s="371">
        <v>79099.226982290449</v>
      </c>
      <c r="L14" s="372">
        <v>77311.90483398478</v>
      </c>
      <c r="M14" s="371">
        <v>75555.618268410384</v>
      </c>
      <c r="N14" s="371">
        <v>75855.579591687841</v>
      </c>
      <c r="O14" s="374">
        <f t="shared" si="0"/>
        <v>931572.00000000035</v>
      </c>
    </row>
    <row r="15" spans="1:15" x14ac:dyDescent="0.2">
      <c r="A15" s="369" t="s">
        <v>154</v>
      </c>
      <c r="B15" s="375">
        <v>5.0799999999999998E-2</v>
      </c>
      <c r="C15" s="371">
        <v>73445.385408974151</v>
      </c>
      <c r="D15" s="372">
        <v>112052.28981279273</v>
      </c>
      <c r="E15" s="371">
        <v>77033.231638595869</v>
      </c>
      <c r="F15" s="372">
        <v>87504.911868389361</v>
      </c>
      <c r="G15" s="371">
        <v>83369.714648173191</v>
      </c>
      <c r="H15" s="371">
        <v>87159.341344428598</v>
      </c>
      <c r="I15" s="371">
        <v>88573.245504062128</v>
      </c>
      <c r="J15" s="372">
        <v>91890.270315297239</v>
      </c>
      <c r="K15" s="371">
        <v>88899.131210184845</v>
      </c>
      <c r="L15" s="372">
        <v>86890.370919611218</v>
      </c>
      <c r="M15" s="371">
        <v>84916.491328213437</v>
      </c>
      <c r="N15" s="371">
        <v>85253.616001277493</v>
      </c>
      <c r="O15" s="374">
        <f t="shared" si="0"/>
        <v>1046988.0000000002</v>
      </c>
    </row>
    <row r="16" spans="1:15" x14ac:dyDescent="0.2">
      <c r="A16" s="369" t="s">
        <v>155</v>
      </c>
      <c r="B16" s="375">
        <v>8.9200000000000002E-2</v>
      </c>
      <c r="C16" s="371">
        <v>128963.15705670265</v>
      </c>
      <c r="D16" s="372">
        <v>196753.23329332899</v>
      </c>
      <c r="E16" s="371">
        <v>135263.07602682582</v>
      </c>
      <c r="F16" s="372">
        <v>153650.35706024274</v>
      </c>
      <c r="G16" s="371">
        <v>146389.34146883953</v>
      </c>
      <c r="H16" s="371">
        <v>153043.5678725006</v>
      </c>
      <c r="I16" s="371">
        <v>155526.24997957365</v>
      </c>
      <c r="J16" s="372">
        <v>161350.6321284353</v>
      </c>
      <c r="K16" s="371">
        <v>156098.47448717497</v>
      </c>
      <c r="L16" s="372">
        <v>152571.28122104963</v>
      </c>
      <c r="M16" s="371">
        <v>149105.33516686296</v>
      </c>
      <c r="N16" s="371">
        <v>149697.29423846363</v>
      </c>
      <c r="O16" s="374">
        <f t="shared" si="0"/>
        <v>1838412.0000000005</v>
      </c>
    </row>
    <row r="17" spans="1:15" x14ac:dyDescent="0.2">
      <c r="A17" s="369" t="s">
        <v>156</v>
      </c>
      <c r="B17" s="375">
        <v>5.0200000000000002E-2</v>
      </c>
      <c r="C17" s="371">
        <v>72577.9202269784</v>
      </c>
      <c r="D17" s="372">
        <v>110728.83757090935</v>
      </c>
      <c r="E17" s="371">
        <v>76123.390320029779</v>
      </c>
      <c r="F17" s="372">
        <v>86471.389287266647</v>
      </c>
      <c r="G17" s="371">
        <v>82385.032979100273</v>
      </c>
      <c r="H17" s="371">
        <v>86129.900304927476</v>
      </c>
      <c r="I17" s="371">
        <v>87527.104809132259</v>
      </c>
      <c r="J17" s="372">
        <v>90804.952161966954</v>
      </c>
      <c r="K17" s="371">
        <v>87849.141471481882</v>
      </c>
      <c r="L17" s="372">
        <v>85864.106696151255</v>
      </c>
      <c r="M17" s="371">
        <v>83913.540643234548</v>
      </c>
      <c r="N17" s="371">
        <v>84246.683528821464</v>
      </c>
      <c r="O17" s="374">
        <f t="shared" si="0"/>
        <v>1034622.0000000002</v>
      </c>
    </row>
    <row r="18" spans="1:15" x14ac:dyDescent="0.2">
      <c r="A18" s="369" t="s">
        <v>157</v>
      </c>
      <c r="B18" s="375">
        <v>4.2900000000000001E-2</v>
      </c>
      <c r="C18" s="371">
        <v>62023.760512696681</v>
      </c>
      <c r="D18" s="372">
        <v>94626.835294661578</v>
      </c>
      <c r="E18" s="371">
        <v>65053.654277475653</v>
      </c>
      <c r="F18" s="372">
        <v>73896.864550273691</v>
      </c>
      <c r="G18" s="371">
        <v>70404.739338713189</v>
      </c>
      <c r="H18" s="371">
        <v>73605.034324330452</v>
      </c>
      <c r="I18" s="371">
        <v>74799.05968748554</v>
      </c>
      <c r="J18" s="372">
        <v>77600.247963115195</v>
      </c>
      <c r="K18" s="371">
        <v>75074.266317262402</v>
      </c>
      <c r="L18" s="372">
        <v>73377.891977388223</v>
      </c>
      <c r="M18" s="371">
        <v>71710.973975991277</v>
      </c>
      <c r="N18" s="371">
        <v>71995.671780606383</v>
      </c>
      <c r="O18" s="374">
        <f t="shared" si="0"/>
        <v>884169.00000000023</v>
      </c>
    </row>
    <row r="19" spans="1:15" x14ac:dyDescent="0.2">
      <c r="A19" s="369" t="s">
        <v>158</v>
      </c>
      <c r="B19" s="375">
        <v>3.04E-2</v>
      </c>
      <c r="C19" s="371">
        <v>43951.569221118392</v>
      </c>
      <c r="D19" s="372">
        <v>67054.91358875786</v>
      </c>
      <c r="E19" s="371">
        <v>46098.626807348708</v>
      </c>
      <c r="F19" s="372">
        <v>52365.144110217254</v>
      </c>
      <c r="G19" s="371">
        <v>49890.537899694187</v>
      </c>
      <c r="H19" s="371">
        <v>52158.346001390346</v>
      </c>
      <c r="I19" s="371">
        <v>53004.461876446629</v>
      </c>
      <c r="J19" s="372">
        <v>54989.453102067637</v>
      </c>
      <c r="K19" s="371">
        <v>53199.480094283848</v>
      </c>
      <c r="L19" s="372">
        <v>51997.38732197207</v>
      </c>
      <c r="M19" s="371">
        <v>50816.168038930875</v>
      </c>
      <c r="N19" s="371">
        <v>51017.911937772355</v>
      </c>
      <c r="O19" s="374">
        <f t="shared" si="0"/>
        <v>626544.00000000023</v>
      </c>
    </row>
    <row r="20" spans="1:15" x14ac:dyDescent="0.2">
      <c r="A20" s="369" t="s">
        <v>285</v>
      </c>
      <c r="B20" s="375">
        <v>6.7000000000000004E-2</v>
      </c>
      <c r="C20" s="371">
        <v>96866.94532285961</v>
      </c>
      <c r="D20" s="372">
        <v>147785.50034364397</v>
      </c>
      <c r="E20" s="371">
        <v>101598.94723988039</v>
      </c>
      <c r="F20" s="372">
        <v>115410.02155870252</v>
      </c>
      <c r="G20" s="371">
        <v>109956.1197131418</v>
      </c>
      <c r="H20" s="371">
        <v>114954.24941095899</v>
      </c>
      <c r="I20" s="371">
        <v>116819.04426716856</v>
      </c>
      <c r="J20" s="372">
        <v>121193.86045521488</v>
      </c>
      <c r="K20" s="371">
        <v>117248.85415516507</v>
      </c>
      <c r="L20" s="372">
        <v>114599.50495303056</v>
      </c>
      <c r="M20" s="371">
        <v>111996.15982264372</v>
      </c>
      <c r="N20" s="371">
        <v>112440.7927575904</v>
      </c>
      <c r="O20" s="374">
        <f t="shared" si="0"/>
        <v>1380870.0000000002</v>
      </c>
    </row>
    <row r="21" spans="1:15" x14ac:dyDescent="0.2">
      <c r="A21" s="369" t="s">
        <v>286</v>
      </c>
      <c r="B21" s="375">
        <v>5.0799999999999998E-2</v>
      </c>
      <c r="C21" s="371">
        <v>73445.385408974151</v>
      </c>
      <c r="D21" s="372">
        <v>112052.28981279273</v>
      </c>
      <c r="E21" s="371">
        <v>77033.231638595869</v>
      </c>
      <c r="F21" s="372">
        <v>87504.911868389361</v>
      </c>
      <c r="G21" s="371">
        <v>83369.714648173191</v>
      </c>
      <c r="H21" s="371">
        <v>87159.341344428598</v>
      </c>
      <c r="I21" s="371">
        <v>88573.245504062128</v>
      </c>
      <c r="J21" s="372">
        <v>91890.270315297239</v>
      </c>
      <c r="K21" s="371">
        <v>88899.131210184845</v>
      </c>
      <c r="L21" s="372">
        <v>86890.370919611218</v>
      </c>
      <c r="M21" s="371">
        <v>84916.491328213437</v>
      </c>
      <c r="N21" s="371">
        <v>85253.616001277493</v>
      </c>
      <c r="O21" s="374">
        <f t="shared" si="0"/>
        <v>1046988.0000000002</v>
      </c>
    </row>
    <row r="22" spans="1:15" x14ac:dyDescent="0.2">
      <c r="A22" s="369" t="s">
        <v>287</v>
      </c>
      <c r="B22" s="375">
        <v>1.7000000000000001E-2</v>
      </c>
      <c r="C22" s="371">
        <v>24578.18015654647</v>
      </c>
      <c r="D22" s="372">
        <v>37497.813520029071</v>
      </c>
      <c r="E22" s="371">
        <v>25778.837359372636</v>
      </c>
      <c r="F22" s="372">
        <v>29283.139798476757</v>
      </c>
      <c r="G22" s="371">
        <v>27899.313957065831</v>
      </c>
      <c r="H22" s="371">
        <v>29167.496119198549</v>
      </c>
      <c r="I22" s="371">
        <v>29640.653023012917</v>
      </c>
      <c r="J22" s="372">
        <v>30750.68101102467</v>
      </c>
      <c r="K22" s="371">
        <v>29749.709263250839</v>
      </c>
      <c r="L22" s="372">
        <v>29077.486331365963</v>
      </c>
      <c r="M22" s="371">
        <v>28416.936074402136</v>
      </c>
      <c r="N22" s="371">
        <v>28529.75338625428</v>
      </c>
      <c r="O22" s="374">
        <f t="shared" si="0"/>
        <v>350370.00000000012</v>
      </c>
    </row>
    <row r="23" spans="1:15" x14ac:dyDescent="0.2">
      <c r="A23" s="369" t="s">
        <v>162</v>
      </c>
      <c r="B23" s="375">
        <v>4.0800000000000003E-2</v>
      </c>
      <c r="C23" s="371">
        <v>58987.632375711531</v>
      </c>
      <c r="D23" s="372">
        <v>89994.752448069761</v>
      </c>
      <c r="E23" s="371">
        <v>61869.20966249433</v>
      </c>
      <c r="F23" s="372">
        <v>70279.535516344215</v>
      </c>
      <c r="G23" s="371">
        <v>66958.353496957992</v>
      </c>
      <c r="H23" s="371">
        <v>70001.990686076519</v>
      </c>
      <c r="I23" s="371">
        <v>71137.567255230999</v>
      </c>
      <c r="J23" s="372">
        <v>73801.634426459204</v>
      </c>
      <c r="K23" s="371">
        <v>71399.302231802008</v>
      </c>
      <c r="L23" s="372">
        <v>69785.96719527831</v>
      </c>
      <c r="M23" s="371">
        <v>68200.646578565123</v>
      </c>
      <c r="N23" s="371">
        <v>68471.408127010276</v>
      </c>
      <c r="O23" s="374">
        <f t="shared" si="0"/>
        <v>840888.00000000023</v>
      </c>
    </row>
    <row r="24" spans="1:15" x14ac:dyDescent="0.2">
      <c r="A24" s="369" t="s">
        <v>163</v>
      </c>
      <c r="B24" s="375">
        <v>3.7000000000000002E-3</v>
      </c>
      <c r="C24" s="371">
        <v>5349.3686223071727</v>
      </c>
      <c r="D24" s="372">
        <v>8161.2888249475027</v>
      </c>
      <c r="E24" s="371">
        <v>5610.6881311575735</v>
      </c>
      <c r="F24" s="372">
        <v>6373.389250256706</v>
      </c>
      <c r="G24" s="371">
        <v>6072.2036259496217</v>
      </c>
      <c r="H24" s="371">
        <v>6348.2197435902726</v>
      </c>
      <c r="I24" s="371">
        <v>6451.2009520675174</v>
      </c>
      <c r="J24" s="372">
        <v>6692.795278870075</v>
      </c>
      <c r="K24" s="371">
        <v>6474.9367220016529</v>
      </c>
      <c r="L24" s="372">
        <v>6328.6293780031801</v>
      </c>
      <c r="M24" s="371">
        <v>6184.8625573698764</v>
      </c>
      <c r="N24" s="371">
        <v>6209.4169134788726</v>
      </c>
      <c r="O24" s="374">
        <f t="shared" si="0"/>
        <v>76257.000000000015</v>
      </c>
    </row>
    <row r="25" spans="1:15" x14ac:dyDescent="0.2">
      <c r="A25" s="369" t="s">
        <v>164</v>
      </c>
      <c r="B25" s="375">
        <v>3.7699999999999997E-2</v>
      </c>
      <c r="C25" s="371">
        <v>54505.728935400104</v>
      </c>
      <c r="D25" s="372">
        <v>83156.91586500562</v>
      </c>
      <c r="E25" s="371">
        <v>57168.362849902842</v>
      </c>
      <c r="F25" s="372">
        <v>64939.668847210211</v>
      </c>
      <c r="G25" s="371">
        <v>61870.831540081279</v>
      </c>
      <c r="H25" s="371">
        <v>64683.211981987362</v>
      </c>
      <c r="I25" s="371">
        <v>65732.506998093348</v>
      </c>
      <c r="J25" s="372">
        <v>68194.157300919396</v>
      </c>
      <c r="K25" s="371">
        <v>65974.355248503314</v>
      </c>
      <c r="L25" s="372">
        <v>64483.602040735095</v>
      </c>
      <c r="M25" s="371">
        <v>63018.734706174146</v>
      </c>
      <c r="N25" s="371">
        <v>63268.923685987422</v>
      </c>
      <c r="O25" s="374">
        <f t="shared" si="0"/>
        <v>776997</v>
      </c>
    </row>
    <row r="26" spans="1:15" ht="13.5" thickBot="1" x14ac:dyDescent="0.25">
      <c r="A26" s="369" t="s">
        <v>165</v>
      </c>
      <c r="B26" s="376">
        <v>4.5999999999999999E-2</v>
      </c>
      <c r="C26" s="371">
        <v>66505.663953008087</v>
      </c>
      <c r="D26" s="372">
        <v>101464.6718777257</v>
      </c>
      <c r="E26" s="371">
        <v>69754.501090067133</v>
      </c>
      <c r="F26" s="372">
        <v>79236.73121940768</v>
      </c>
      <c r="G26" s="371">
        <v>75492.261295589895</v>
      </c>
      <c r="H26" s="371">
        <v>78923.813028419594</v>
      </c>
      <c r="I26" s="377">
        <v>80204.119944623177</v>
      </c>
      <c r="J26" s="372">
        <v>83207.725088654974</v>
      </c>
      <c r="K26" s="371">
        <v>80499.213300561081</v>
      </c>
      <c r="L26" s="372">
        <v>78680.257131931416</v>
      </c>
      <c r="M26" s="371">
        <v>76892.885848382241</v>
      </c>
      <c r="N26" s="371">
        <v>77198.156221629222</v>
      </c>
      <c r="O26" s="374">
        <f t="shared" si="0"/>
        <v>948060.00000000023</v>
      </c>
    </row>
    <row r="27" spans="1:15" ht="13.5" thickBot="1" x14ac:dyDescent="0.25">
      <c r="A27" s="378" t="s">
        <v>288</v>
      </c>
      <c r="B27" s="379">
        <f>SUM(B7:B26)</f>
        <v>1</v>
      </c>
      <c r="C27" s="380">
        <f>SUM(C7:C26)</f>
        <v>1445775.3033262629</v>
      </c>
      <c r="D27" s="380">
        <f t="shared" ref="D27:O27" si="1">SUM(D7:D26)</f>
        <v>2205753.7364722979</v>
      </c>
      <c r="E27" s="380">
        <f t="shared" si="1"/>
        <v>1516402.197610155</v>
      </c>
      <c r="F27" s="380">
        <f t="shared" si="1"/>
        <v>1722537.6352045152</v>
      </c>
      <c r="G27" s="380">
        <f t="shared" si="1"/>
        <v>1641136.1151215194</v>
      </c>
      <c r="H27" s="380">
        <f t="shared" si="1"/>
        <v>1715735.0658352086</v>
      </c>
      <c r="I27" s="380">
        <f t="shared" si="1"/>
        <v>1743567.8248831125</v>
      </c>
      <c r="J27" s="380">
        <f t="shared" si="1"/>
        <v>1808863.5888838039</v>
      </c>
      <c r="K27" s="380">
        <f t="shared" si="1"/>
        <v>1749982.8978382845</v>
      </c>
      <c r="L27" s="380">
        <f t="shared" si="1"/>
        <v>1710440.3724332915</v>
      </c>
      <c r="M27" s="380">
        <f t="shared" si="1"/>
        <v>1671584.474964832</v>
      </c>
      <c r="N27" s="380">
        <f t="shared" si="1"/>
        <v>1678220.787426722</v>
      </c>
      <c r="O27" s="380">
        <f t="shared" si="1"/>
        <v>20610000.000000004</v>
      </c>
    </row>
    <row r="28" spans="1:15" x14ac:dyDescent="0.2">
      <c r="A28" s="550" t="s">
        <v>289</v>
      </c>
      <c r="B28" s="546"/>
      <c r="C28" s="546"/>
      <c r="D28" s="546"/>
      <c r="E28" s="546"/>
      <c r="F28" s="546"/>
      <c r="G28" s="546"/>
      <c r="H28" s="546"/>
      <c r="I28" s="546"/>
      <c r="J28" s="546"/>
      <c r="K28" s="546"/>
      <c r="L28" s="546"/>
      <c r="M28" s="546"/>
      <c r="N28" s="546"/>
      <c r="O28" s="546"/>
    </row>
    <row r="29" spans="1:15" x14ac:dyDescent="0.2">
      <c r="A29" s="545"/>
      <c r="B29" s="547"/>
      <c r="C29" s="547"/>
      <c r="D29" s="547"/>
      <c r="E29" s="547"/>
      <c r="F29" s="547"/>
      <c r="G29" s="547"/>
      <c r="H29" s="547"/>
      <c r="I29" s="547"/>
      <c r="J29" s="547"/>
      <c r="K29" s="547"/>
      <c r="L29" s="547"/>
      <c r="M29" s="547"/>
      <c r="N29" s="547"/>
      <c r="O29" s="547"/>
    </row>
    <row r="30" spans="1:15" x14ac:dyDescent="0.2">
      <c r="A30" s="548" t="s">
        <v>290</v>
      </c>
      <c r="B30" s="549"/>
      <c r="C30" s="549"/>
      <c r="D30" s="549"/>
      <c r="E30" s="549"/>
      <c r="F30" s="549"/>
      <c r="G30" s="549"/>
      <c r="H30" s="549"/>
      <c r="I30" s="549"/>
      <c r="J30" s="549"/>
      <c r="K30" s="549"/>
      <c r="L30" s="549"/>
      <c r="M30" s="549"/>
      <c r="N30" s="549"/>
      <c r="O30" s="549"/>
    </row>
    <row r="31" spans="1:15" ht="27" customHeight="1" x14ac:dyDescent="0.2">
      <c r="A31" s="1153" t="s">
        <v>291</v>
      </c>
      <c r="B31" s="1154"/>
      <c r="C31" s="1154"/>
      <c r="D31" s="1154"/>
      <c r="E31" s="1154"/>
      <c r="F31" s="1154"/>
      <c r="G31" s="1154"/>
      <c r="H31" s="1154"/>
      <c r="I31" s="1154"/>
      <c r="J31" s="1154"/>
      <c r="K31" s="1154"/>
      <c r="L31" s="1154"/>
      <c r="M31" s="1154"/>
      <c r="N31" s="1154"/>
      <c r="O31" s="1154"/>
    </row>
    <row r="34" spans="3:15" hidden="1" x14ac:dyDescent="0.2">
      <c r="C34" s="784">
        <f>ROUND(C27,2)</f>
        <v>1445775.3</v>
      </c>
      <c r="D34" s="784">
        <f t="shared" ref="D34:N34" si="2">ROUND(D27,2)</f>
        <v>2205753.7400000002</v>
      </c>
      <c r="E34" s="784">
        <f t="shared" si="2"/>
        <v>1516402.2</v>
      </c>
      <c r="F34" s="784">
        <f t="shared" si="2"/>
        <v>1722537.64</v>
      </c>
      <c r="G34" s="784">
        <f t="shared" si="2"/>
        <v>1641136.12</v>
      </c>
      <c r="H34" s="784">
        <f t="shared" si="2"/>
        <v>1715735.07</v>
      </c>
      <c r="I34" s="784">
        <f t="shared" si="2"/>
        <v>1743567.82</v>
      </c>
      <c r="J34" s="784">
        <f t="shared" si="2"/>
        <v>1808863.59</v>
      </c>
      <c r="K34" s="784">
        <f t="shared" si="2"/>
        <v>1749982.9</v>
      </c>
      <c r="L34" s="784">
        <f t="shared" si="2"/>
        <v>1710440.37</v>
      </c>
      <c r="M34" s="784">
        <f t="shared" si="2"/>
        <v>1671584.47</v>
      </c>
      <c r="N34" s="784">
        <f t="shared" si="2"/>
        <v>1678220.79</v>
      </c>
    </row>
    <row r="35" spans="3:15" hidden="1" x14ac:dyDescent="0.2"/>
    <row r="36" spans="3:15" hidden="1" x14ac:dyDescent="0.2">
      <c r="C36" s="785">
        <v>1445775.3</v>
      </c>
      <c r="D36" s="785">
        <v>2205753.7400000002</v>
      </c>
      <c r="E36" s="785">
        <v>1516402.2</v>
      </c>
      <c r="F36" s="785">
        <v>1722537.64</v>
      </c>
      <c r="G36" s="785">
        <v>1641136.12</v>
      </c>
      <c r="H36" s="785">
        <v>1715735.07</v>
      </c>
      <c r="I36" s="785">
        <v>1743567.82</v>
      </c>
      <c r="J36" s="785">
        <v>1808863.59</v>
      </c>
      <c r="K36" s="785">
        <v>1749982.9</v>
      </c>
      <c r="L36" s="785">
        <v>1710440.37</v>
      </c>
      <c r="M36" s="785">
        <v>1671584.47</v>
      </c>
      <c r="N36" s="785">
        <v>1678220.79</v>
      </c>
      <c r="O36" s="785">
        <f>SUM(C36:N36)</f>
        <v>20610000.009999998</v>
      </c>
    </row>
  </sheetData>
  <mergeCells count="5">
    <mergeCell ref="A1:O1"/>
    <mergeCell ref="A2:O2"/>
    <mergeCell ref="A3:O3"/>
    <mergeCell ref="A4:O4"/>
    <mergeCell ref="A31:O31"/>
  </mergeCells>
  <printOptions horizontalCentered="1"/>
  <pageMargins left="0.39" right="0.74803149606299213" top="0.98425196850393704" bottom="0.98425196850393704" header="0" footer="0"/>
  <pageSetup paperSize="5" scale="8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pageSetUpPr fitToPage="1"/>
  </sheetPr>
  <dimension ref="B2:U117"/>
  <sheetViews>
    <sheetView zoomScale="110" zoomScaleNormal="110" workbookViewId="0">
      <selection activeCell="C4" sqref="C4:K4"/>
    </sheetView>
  </sheetViews>
  <sheetFormatPr baseColWidth="10" defaultRowHeight="15" x14ac:dyDescent="0.25"/>
  <cols>
    <col min="1" max="1" width="12.140625" customWidth="1"/>
    <col min="2" max="2" width="7.140625" style="216" customWidth="1"/>
    <col min="3" max="3" width="12.140625" customWidth="1"/>
    <col min="4" max="4" width="16.42578125" customWidth="1"/>
    <col min="5" max="5" width="12.28515625" customWidth="1"/>
    <col min="6" max="6" width="16" customWidth="1"/>
    <col min="7" max="7" width="13.28515625" customWidth="1"/>
    <col min="8" max="8" width="14.42578125" customWidth="1"/>
    <col min="9" max="9" width="20.85546875" style="9" customWidth="1"/>
    <col min="10" max="10" width="13.42578125" style="9" customWidth="1"/>
    <col min="11" max="12" width="17.85546875" customWidth="1"/>
    <col min="13" max="13" width="15.7109375" customWidth="1"/>
    <col min="14" max="14" width="12.85546875" customWidth="1"/>
    <col min="15" max="15" width="17.140625" customWidth="1"/>
    <col min="16" max="16" width="12.85546875" bestFit="1" customWidth="1"/>
    <col min="19" max="19" width="12.85546875" bestFit="1" customWidth="1"/>
  </cols>
  <sheetData>
    <row r="2" spans="2:16" x14ac:dyDescent="0.25">
      <c r="C2" s="8"/>
      <c r="D2" s="8"/>
      <c r="E2" s="8"/>
      <c r="F2" s="8"/>
      <c r="G2" s="8"/>
      <c r="H2" s="8"/>
      <c r="K2" s="214" t="s">
        <v>174</v>
      </c>
    </row>
    <row r="3" spans="2:16" x14ac:dyDescent="0.25">
      <c r="C3" s="8"/>
      <c r="D3" s="8"/>
      <c r="E3" s="8"/>
      <c r="F3" s="8"/>
      <c r="G3" s="8"/>
      <c r="H3" s="8"/>
      <c r="I3" s="76"/>
      <c r="J3" s="76"/>
    </row>
    <row r="4" spans="2:16" ht="15.75" thickBot="1" x14ac:dyDescent="0.3">
      <c r="C4" s="1050" t="s">
        <v>175</v>
      </c>
      <c r="D4" s="1050"/>
      <c r="E4" s="1050"/>
      <c r="F4" s="1050"/>
      <c r="G4" s="1050"/>
      <c r="H4" s="1050"/>
      <c r="I4" s="1050"/>
      <c r="J4" s="1050"/>
      <c r="K4" s="1050"/>
    </row>
    <row r="5" spans="2:16" x14ac:dyDescent="0.25">
      <c r="B5" s="1206" t="s">
        <v>400</v>
      </c>
      <c r="C5" s="1207"/>
      <c r="D5" s="1207"/>
      <c r="E5" s="1207"/>
      <c r="F5" s="1207"/>
      <c r="G5" s="1207"/>
      <c r="H5" s="1207"/>
      <c r="I5" s="1207"/>
      <c r="J5" s="1207"/>
      <c r="K5" s="1208"/>
    </row>
    <row r="6" spans="2:16" ht="15.75" thickBot="1" x14ac:dyDescent="0.3">
      <c r="B6" s="1209" t="s">
        <v>176</v>
      </c>
      <c r="C6" s="1210"/>
      <c r="D6" s="1210"/>
      <c r="E6" s="1210"/>
      <c r="F6" s="1210"/>
      <c r="G6" s="1210"/>
      <c r="H6" s="1211"/>
      <c r="I6" s="217"/>
      <c r="J6" s="218"/>
      <c r="K6" s="219" t="s">
        <v>19</v>
      </c>
    </row>
    <row r="7" spans="2:16" x14ac:dyDescent="0.25">
      <c r="B7" s="220"/>
      <c r="C7" s="149"/>
      <c r="D7" s="221"/>
      <c r="E7" s="221"/>
      <c r="F7" s="222"/>
      <c r="G7" s="223"/>
      <c r="H7" s="224"/>
      <c r="I7" s="225"/>
      <c r="J7" s="226"/>
      <c r="K7" s="224"/>
    </row>
    <row r="8" spans="2:16" x14ac:dyDescent="0.25">
      <c r="B8" s="227"/>
      <c r="C8" s="1212" t="s">
        <v>177</v>
      </c>
      <c r="D8" s="1159"/>
      <c r="E8" s="1159"/>
      <c r="F8" s="1159"/>
      <c r="G8" s="1159"/>
      <c r="H8" s="1213"/>
      <c r="I8" s="228"/>
      <c r="J8" s="229"/>
      <c r="K8" s="230"/>
      <c r="L8" s="5"/>
    </row>
    <row r="9" spans="2:16" x14ac:dyDescent="0.25">
      <c r="B9" s="227">
        <v>1</v>
      </c>
      <c r="C9" s="1172" t="s">
        <v>401</v>
      </c>
      <c r="D9" s="1162"/>
      <c r="E9" s="1162"/>
      <c r="F9" s="1162"/>
      <c r="G9" s="1162"/>
      <c r="H9" s="1173"/>
      <c r="I9" s="228"/>
      <c r="J9" s="229"/>
      <c r="K9" s="258">
        <v>6885140618</v>
      </c>
      <c r="L9" s="232"/>
      <c r="M9" s="233"/>
      <c r="N9" s="233"/>
      <c r="O9" s="233"/>
      <c r="P9" s="233"/>
    </row>
    <row r="10" spans="2:16" x14ac:dyDescent="0.25">
      <c r="B10" s="227">
        <v>2</v>
      </c>
      <c r="C10" s="1172" t="s">
        <v>178</v>
      </c>
      <c r="D10" s="1162"/>
      <c r="E10" s="1162"/>
      <c r="F10" s="1162"/>
      <c r="G10" s="1162"/>
      <c r="H10" s="1173"/>
      <c r="I10" s="1174">
        <v>4340124516</v>
      </c>
      <c r="J10" s="1175"/>
      <c r="K10" s="1192"/>
      <c r="L10" s="5"/>
    </row>
    <row r="11" spans="2:16" x14ac:dyDescent="0.25">
      <c r="B11" s="227">
        <v>3</v>
      </c>
      <c r="C11" s="234" t="s">
        <v>179</v>
      </c>
      <c r="D11" s="232"/>
      <c r="E11" s="232"/>
      <c r="F11" s="232"/>
      <c r="G11" s="232"/>
      <c r="H11" s="235"/>
      <c r="I11" s="236"/>
      <c r="J11" s="237"/>
      <c r="K11" s="231">
        <f>K9-I10</f>
        <v>2545016102</v>
      </c>
      <c r="L11" s="5"/>
    </row>
    <row r="12" spans="2:16" x14ac:dyDescent="0.25">
      <c r="B12" s="227">
        <v>3</v>
      </c>
      <c r="C12" s="1172" t="s">
        <v>180</v>
      </c>
      <c r="D12" s="1162"/>
      <c r="E12" s="1162"/>
      <c r="F12" s="1162"/>
      <c r="G12" s="1162"/>
      <c r="H12" s="1173"/>
      <c r="I12" s="1174">
        <f>K11*22.5%</f>
        <v>572628622.95000005</v>
      </c>
      <c r="J12" s="1175"/>
      <c r="K12" s="1192"/>
      <c r="L12" s="5"/>
    </row>
    <row r="13" spans="2:16" x14ac:dyDescent="0.25">
      <c r="B13" s="227">
        <v>4</v>
      </c>
      <c r="C13" s="1172" t="s">
        <v>181</v>
      </c>
      <c r="D13" s="1162"/>
      <c r="E13" s="1162"/>
      <c r="F13" s="1162"/>
      <c r="G13" s="1162"/>
      <c r="H13" s="1173"/>
      <c r="I13" s="1174">
        <f>I10*22.5%</f>
        <v>976528016.10000002</v>
      </c>
      <c r="J13" s="1175"/>
      <c r="K13" s="1192"/>
      <c r="L13" s="5"/>
    </row>
    <row r="14" spans="2:16" x14ac:dyDescent="0.25">
      <c r="B14" s="227">
        <v>5</v>
      </c>
      <c r="C14" s="1172" t="s">
        <v>402</v>
      </c>
      <c r="D14" s="1162"/>
      <c r="E14" s="1162"/>
      <c r="F14" s="1162"/>
      <c r="G14" s="1162"/>
      <c r="H14" s="1173"/>
      <c r="I14" s="1199"/>
      <c r="J14" s="1185"/>
      <c r="K14" s="1186"/>
      <c r="L14" s="5"/>
    </row>
    <row r="15" spans="2:16" x14ac:dyDescent="0.25">
      <c r="B15" s="227"/>
      <c r="C15" s="1172" t="s">
        <v>403</v>
      </c>
      <c r="D15" s="1162"/>
      <c r="E15" s="1162"/>
      <c r="F15" s="1162"/>
      <c r="G15" s="1162"/>
      <c r="H15" s="1173"/>
      <c r="I15" s="1174">
        <f>I12*60%</f>
        <v>343577173.77000004</v>
      </c>
      <c r="J15" s="1175"/>
      <c r="K15" s="1192"/>
      <c r="L15" s="5"/>
    </row>
    <row r="16" spans="2:16" ht="15.75" thickBot="1" x14ac:dyDescent="0.3">
      <c r="B16" s="227"/>
      <c r="C16" s="1172" t="s">
        <v>404</v>
      </c>
      <c r="D16" s="1162"/>
      <c r="E16" s="1162"/>
      <c r="F16" s="1162"/>
      <c r="G16" s="1162"/>
      <c r="H16" s="1173"/>
      <c r="I16" s="1174">
        <f>I12*30%</f>
        <v>171788586.88500002</v>
      </c>
      <c r="J16" s="1175"/>
      <c r="K16" s="1192"/>
      <c r="L16" s="5"/>
    </row>
    <row r="17" spans="2:12" ht="15.75" thickBot="1" x14ac:dyDescent="0.3">
      <c r="B17" s="227"/>
      <c r="C17" s="1200" t="s">
        <v>405</v>
      </c>
      <c r="D17" s="1201"/>
      <c r="E17" s="1201"/>
      <c r="F17" s="1201"/>
      <c r="G17" s="1201"/>
      <c r="H17" s="1202"/>
      <c r="I17" s="1203">
        <f>I12*10%</f>
        <v>57262862.295000009</v>
      </c>
      <c r="J17" s="1204"/>
      <c r="K17" s="1205"/>
      <c r="L17" s="5"/>
    </row>
    <row r="18" spans="2:12" ht="15.75" thickBot="1" x14ac:dyDescent="0.3">
      <c r="B18" s="227"/>
      <c r="C18" s="1172" t="s">
        <v>182</v>
      </c>
      <c r="D18" s="1162"/>
      <c r="E18" s="1162"/>
      <c r="F18" s="1162"/>
      <c r="G18" s="1162"/>
      <c r="H18" s="1173"/>
      <c r="I18" s="238">
        <f>SUM(I15:I17)</f>
        <v>572628622.95000005</v>
      </c>
      <c r="J18" s="239"/>
      <c r="K18" s="231">
        <f>SUM(I18)</f>
        <v>572628622.95000005</v>
      </c>
      <c r="L18" s="129"/>
    </row>
    <row r="19" spans="2:12" ht="15.75" thickBot="1" x14ac:dyDescent="0.3">
      <c r="B19" s="240">
        <v>6</v>
      </c>
      <c r="C19" s="1193" t="s">
        <v>406</v>
      </c>
      <c r="D19" s="1194"/>
      <c r="E19" s="1194"/>
      <c r="F19" s="1194"/>
      <c r="G19" s="1194"/>
      <c r="H19" s="1195"/>
      <c r="I19" s="1196">
        <f>I12+I13</f>
        <v>1549156639.0500002</v>
      </c>
      <c r="J19" s="1197"/>
      <c r="K19" s="1198"/>
      <c r="L19" s="5"/>
    </row>
    <row r="20" spans="2:12" x14ac:dyDescent="0.25">
      <c r="B20" s="602"/>
      <c r="C20" s="1187"/>
      <c r="D20" s="1187"/>
      <c r="E20" s="1187"/>
      <c r="F20" s="1187"/>
      <c r="G20" s="1187"/>
      <c r="H20" s="1187"/>
      <c r="I20" s="1188"/>
      <c r="J20" s="1189"/>
      <c r="K20" s="1190"/>
      <c r="L20" s="5"/>
    </row>
    <row r="21" spans="2:12" x14ac:dyDescent="0.25">
      <c r="B21" s="603"/>
      <c r="C21" s="1159" t="s">
        <v>183</v>
      </c>
      <c r="D21" s="1159"/>
      <c r="E21" s="1159"/>
      <c r="F21" s="1159"/>
      <c r="G21" s="1159"/>
      <c r="H21" s="1159"/>
      <c r="I21" s="1184"/>
      <c r="J21" s="1175"/>
      <c r="K21" s="1192"/>
      <c r="L21" s="5"/>
    </row>
    <row r="22" spans="2:12" x14ac:dyDescent="0.25">
      <c r="B22" s="603">
        <v>7</v>
      </c>
      <c r="C22" s="1162" t="s">
        <v>407</v>
      </c>
      <c r="D22" s="1162"/>
      <c r="E22" s="1162"/>
      <c r="F22" s="1162"/>
      <c r="G22" s="1162"/>
      <c r="H22" s="1162"/>
      <c r="I22" s="555"/>
      <c r="J22" s="556"/>
      <c r="K22" s="558">
        <v>531980703</v>
      </c>
      <c r="L22" s="5"/>
    </row>
    <row r="23" spans="2:12" x14ac:dyDescent="0.25">
      <c r="B23" s="603">
        <v>8</v>
      </c>
      <c r="C23" s="1162" t="s">
        <v>184</v>
      </c>
      <c r="D23" s="1162"/>
      <c r="E23" s="1162"/>
      <c r="F23" s="1162"/>
      <c r="G23" s="1162"/>
      <c r="H23" s="1162"/>
      <c r="I23" s="555"/>
      <c r="J23" s="556"/>
      <c r="K23" s="558">
        <v>432473544</v>
      </c>
      <c r="L23" s="5"/>
    </row>
    <row r="24" spans="2:12" x14ac:dyDescent="0.25">
      <c r="B24" s="603">
        <v>9</v>
      </c>
      <c r="C24" s="554" t="s">
        <v>408</v>
      </c>
      <c r="D24" s="554"/>
      <c r="E24" s="554"/>
      <c r="F24" s="554"/>
      <c r="G24" s="554"/>
      <c r="H24" s="554"/>
      <c r="I24" s="555"/>
      <c r="J24" s="556"/>
      <c r="K24" s="558">
        <f>K22-K23</f>
        <v>99507159</v>
      </c>
      <c r="L24" s="5"/>
    </row>
    <row r="25" spans="2:12" x14ac:dyDescent="0.25">
      <c r="B25" s="603">
        <v>10</v>
      </c>
      <c r="C25" s="1162" t="s">
        <v>185</v>
      </c>
      <c r="D25" s="1162"/>
      <c r="E25" s="1162"/>
      <c r="F25" s="1162"/>
      <c r="G25" s="1162"/>
      <c r="H25" s="1162"/>
      <c r="I25" s="555"/>
      <c r="J25" s="556"/>
      <c r="K25" s="558">
        <f>K24</f>
        <v>99507159</v>
      </c>
      <c r="L25" s="5"/>
    </row>
    <row r="26" spans="2:12" x14ac:dyDescent="0.25">
      <c r="B26" s="603"/>
      <c r="C26" s="1182" t="s">
        <v>409</v>
      </c>
      <c r="D26" s="1162"/>
      <c r="E26" s="1162"/>
      <c r="F26" s="1162"/>
      <c r="G26" s="1162"/>
      <c r="H26" s="1183"/>
      <c r="I26" s="599"/>
      <c r="J26" s="600"/>
      <c r="K26" s="558">
        <f>K25*70%</f>
        <v>69655011.299999997</v>
      </c>
      <c r="L26" s="5"/>
    </row>
    <row r="27" spans="2:12" x14ac:dyDescent="0.25">
      <c r="B27" s="603"/>
      <c r="C27" s="601">
        <v>0.5</v>
      </c>
      <c r="D27" s="554"/>
      <c r="E27" s="554"/>
      <c r="F27" s="554"/>
      <c r="G27" s="554"/>
      <c r="H27" s="557"/>
      <c r="I27" s="599"/>
      <c r="J27" s="600"/>
      <c r="K27" s="558">
        <f>K26*C27</f>
        <v>34827505.649999999</v>
      </c>
      <c r="L27" s="5"/>
    </row>
    <row r="28" spans="2:12" x14ac:dyDescent="0.25">
      <c r="B28" s="603"/>
      <c r="C28" s="601">
        <v>0.5</v>
      </c>
      <c r="D28" s="554"/>
      <c r="E28" s="554"/>
      <c r="F28" s="554"/>
      <c r="G28" s="554"/>
      <c r="H28" s="557"/>
      <c r="I28" s="599"/>
      <c r="J28" s="600"/>
      <c r="K28" s="558">
        <f>K26*C28</f>
        <v>34827505.649999999</v>
      </c>
      <c r="L28" s="5"/>
    </row>
    <row r="29" spans="2:12" x14ac:dyDescent="0.25">
      <c r="B29" s="603"/>
      <c r="C29" s="1182" t="s">
        <v>410</v>
      </c>
      <c r="D29" s="1162"/>
      <c r="E29" s="1162"/>
      <c r="F29" s="1162"/>
      <c r="G29" s="1162"/>
      <c r="H29" s="1183"/>
      <c r="I29" s="599"/>
      <c r="J29" s="600"/>
      <c r="K29" s="558">
        <f>K25*30%</f>
        <v>29852147.699999999</v>
      </c>
      <c r="L29" s="5"/>
    </row>
    <row r="30" spans="2:12" ht="15.75" thickBot="1" x14ac:dyDescent="0.3">
      <c r="B30" s="603"/>
      <c r="C30" s="1180" t="s">
        <v>329</v>
      </c>
      <c r="D30" s="1180"/>
      <c r="E30" s="1180"/>
      <c r="F30" s="1180"/>
      <c r="G30" s="1180"/>
      <c r="H30" s="1180"/>
      <c r="I30" s="604"/>
      <c r="J30" s="605"/>
      <c r="K30" s="606">
        <f>K26+K29</f>
        <v>99507159</v>
      </c>
      <c r="L30" s="5"/>
    </row>
    <row r="31" spans="2:12" ht="15.75" thickBot="1" x14ac:dyDescent="0.3">
      <c r="B31" s="607">
        <v>8</v>
      </c>
      <c r="C31" s="1191" t="s">
        <v>411</v>
      </c>
      <c r="D31" s="1191"/>
      <c r="E31" s="1191"/>
      <c r="F31" s="1191"/>
      <c r="G31" s="1191"/>
      <c r="H31" s="1191"/>
      <c r="I31" s="608"/>
      <c r="J31" s="609"/>
      <c r="K31" s="610">
        <f>K23+K24</f>
        <v>531980703</v>
      </c>
      <c r="L31" s="5"/>
    </row>
    <row r="32" spans="2:12" x14ac:dyDescent="0.25">
      <c r="B32" s="602"/>
      <c r="C32" s="611"/>
      <c r="D32" s="612"/>
      <c r="E32" s="612"/>
      <c r="F32" s="612"/>
      <c r="G32" s="612"/>
      <c r="H32" s="613"/>
      <c r="I32" s="614"/>
      <c r="J32" s="615"/>
      <c r="K32" s="616"/>
      <c r="L32" s="5"/>
    </row>
    <row r="33" spans="2:15" x14ac:dyDescent="0.25">
      <c r="B33" s="603"/>
      <c r="C33" s="1158" t="s">
        <v>186</v>
      </c>
      <c r="D33" s="1159"/>
      <c r="E33" s="1159"/>
      <c r="F33" s="1159"/>
      <c r="G33" s="1159"/>
      <c r="H33" s="1160"/>
      <c r="I33" s="555"/>
      <c r="J33" s="556"/>
      <c r="K33" s="617">
        <v>300995587</v>
      </c>
      <c r="L33" s="5"/>
    </row>
    <row r="34" spans="2:15" x14ac:dyDescent="0.25">
      <c r="B34" s="603">
        <v>9</v>
      </c>
      <c r="C34" s="1162" t="s">
        <v>412</v>
      </c>
      <c r="D34" s="1162"/>
      <c r="E34" s="1162"/>
      <c r="F34" s="1162"/>
      <c r="G34" s="1162"/>
      <c r="H34" s="1162"/>
      <c r="I34" s="555"/>
      <c r="J34" s="556"/>
      <c r="K34" s="558">
        <f>K33*22.5%</f>
        <v>67724007.075000003</v>
      </c>
      <c r="L34" s="129">
        <f>K34*22.5%</f>
        <v>15237901.591875002</v>
      </c>
    </row>
    <row r="35" spans="2:15" ht="15.75" thickBot="1" x14ac:dyDescent="0.3">
      <c r="B35" s="603">
        <v>10</v>
      </c>
      <c r="C35" s="1162" t="s">
        <v>187</v>
      </c>
      <c r="D35" s="1162"/>
      <c r="E35" s="1162"/>
      <c r="F35" s="1162"/>
      <c r="G35" s="1162"/>
      <c r="H35" s="1162"/>
      <c r="I35" s="555"/>
      <c r="J35" s="556"/>
      <c r="K35" s="558">
        <v>44079525</v>
      </c>
      <c r="L35" s="129">
        <f>K35*0.225</f>
        <v>9917893.125</v>
      </c>
      <c r="N35" s="552"/>
    </row>
    <row r="36" spans="2:15" ht="15.75" thickBot="1" x14ac:dyDescent="0.3">
      <c r="B36" s="618">
        <v>11</v>
      </c>
      <c r="C36" s="621" t="s">
        <v>413</v>
      </c>
      <c r="D36" s="622"/>
      <c r="E36" s="622"/>
      <c r="F36" s="622"/>
      <c r="G36" s="622"/>
      <c r="H36" s="623"/>
      <c r="I36" s="609"/>
      <c r="J36" s="609"/>
      <c r="K36" s="610">
        <f>K34-K35</f>
        <v>23644482.075000003</v>
      </c>
      <c r="L36" s="129">
        <f>K36*22.5%</f>
        <v>5320008.4668750009</v>
      </c>
    </row>
    <row r="37" spans="2:15" x14ac:dyDescent="0.25">
      <c r="B37" s="602"/>
      <c r="C37" s="611"/>
      <c r="D37" s="612"/>
      <c r="E37" s="612"/>
      <c r="F37" s="612"/>
      <c r="G37" s="612"/>
      <c r="H37" s="613"/>
      <c r="I37" s="614"/>
      <c r="J37" s="615"/>
      <c r="K37" s="616"/>
      <c r="L37" s="5"/>
    </row>
    <row r="38" spans="2:15" x14ac:dyDescent="0.25">
      <c r="B38" s="603"/>
      <c r="C38" s="1176" t="s">
        <v>188</v>
      </c>
      <c r="D38" s="1177"/>
      <c r="E38" s="1177"/>
      <c r="F38" s="1177"/>
      <c r="G38" s="1177"/>
      <c r="H38" s="1178"/>
      <c r="I38" s="1184">
        <f>'X22.55 POE'!A71</f>
        <v>461283759</v>
      </c>
      <c r="J38" s="1185"/>
      <c r="K38" s="1186"/>
      <c r="L38" s="5"/>
    </row>
    <row r="39" spans="2:15" x14ac:dyDescent="0.25">
      <c r="B39" s="603">
        <v>12</v>
      </c>
      <c r="C39" s="1162" t="s">
        <v>414</v>
      </c>
      <c r="D39" s="1162"/>
      <c r="E39" s="1162"/>
      <c r="F39" s="1162"/>
      <c r="G39" s="1162"/>
      <c r="H39" s="1162"/>
      <c r="I39" s="592">
        <f>I38</f>
        <v>461283759</v>
      </c>
      <c r="J39" s="593"/>
      <c r="K39" s="624">
        <f>I38*22.5%</f>
        <v>103788845.77500001</v>
      </c>
      <c r="L39" s="129"/>
    </row>
    <row r="40" spans="2:15" ht="15.75" thickBot="1" x14ac:dyDescent="0.3">
      <c r="B40" s="603">
        <v>13</v>
      </c>
      <c r="C40" s="1162" t="s">
        <v>187</v>
      </c>
      <c r="D40" s="1162"/>
      <c r="E40" s="1162"/>
      <c r="F40" s="1162"/>
      <c r="G40" s="1162"/>
      <c r="H40" s="1162"/>
      <c r="I40" s="597">
        <f>L40</f>
        <v>337311000</v>
      </c>
      <c r="J40" s="556"/>
      <c r="K40" s="558">
        <v>75894975</v>
      </c>
      <c r="L40" s="129">
        <f>K40/22.5%</f>
        <v>337311000</v>
      </c>
      <c r="M40" s="123"/>
    </row>
    <row r="41" spans="2:15" ht="15.75" thickBot="1" x14ac:dyDescent="0.3">
      <c r="B41" s="618">
        <v>14</v>
      </c>
      <c r="C41" s="621" t="s">
        <v>415</v>
      </c>
      <c r="D41" s="622"/>
      <c r="E41" s="622"/>
      <c r="F41" s="622"/>
      <c r="G41" s="622"/>
      <c r="H41" s="623"/>
      <c r="I41" s="638">
        <f>I39-I40</f>
        <v>123972759</v>
      </c>
      <c r="J41" s="609"/>
      <c r="K41" s="610">
        <f>K39-K40</f>
        <v>27893870.775000006</v>
      </c>
      <c r="L41" s="129"/>
      <c r="M41" s="123"/>
      <c r="O41" s="123">
        <v>10658090</v>
      </c>
    </row>
    <row r="42" spans="2:15" x14ac:dyDescent="0.25">
      <c r="B42" s="602"/>
      <c r="C42" s="626"/>
      <c r="D42" s="626"/>
      <c r="E42" s="626"/>
      <c r="F42" s="626"/>
      <c r="G42" s="626"/>
      <c r="H42" s="626"/>
      <c r="I42" s="614"/>
      <c r="J42" s="615"/>
      <c r="K42" s="616"/>
      <c r="L42" s="129"/>
      <c r="M42" s="123"/>
      <c r="O42" s="552">
        <v>0.22500000000000001</v>
      </c>
    </row>
    <row r="43" spans="2:15" x14ac:dyDescent="0.25">
      <c r="B43" s="603"/>
      <c r="C43" s="1158" t="s">
        <v>189</v>
      </c>
      <c r="D43" s="1159"/>
      <c r="E43" s="1159"/>
      <c r="F43" s="1159"/>
      <c r="G43" s="1159"/>
      <c r="H43" s="1160"/>
      <c r="I43" s="594"/>
      <c r="J43" s="595"/>
      <c r="K43" s="624">
        <v>802353781</v>
      </c>
      <c r="L43" s="5"/>
      <c r="O43" s="123">
        <f>O41*O42</f>
        <v>2398070.25</v>
      </c>
    </row>
    <row r="44" spans="2:15" x14ac:dyDescent="0.25">
      <c r="B44" s="603">
        <v>15</v>
      </c>
      <c r="C44" s="1162" t="s">
        <v>416</v>
      </c>
      <c r="D44" s="1162"/>
      <c r="E44" s="1162"/>
      <c r="F44" s="1162"/>
      <c r="G44" s="1162"/>
      <c r="H44" s="1162"/>
      <c r="I44" s="592"/>
      <c r="J44" s="593"/>
      <c r="K44" s="627">
        <f>K43*22.5%</f>
        <v>180529600.72499999</v>
      </c>
      <c r="L44" s="5"/>
    </row>
    <row r="45" spans="2:15" ht="15.75" thickBot="1" x14ac:dyDescent="0.3">
      <c r="B45" s="603">
        <v>16</v>
      </c>
      <c r="C45" s="1162" t="s">
        <v>190</v>
      </c>
      <c r="D45" s="1162"/>
      <c r="E45" s="1162"/>
      <c r="F45" s="1162"/>
      <c r="G45" s="1162"/>
      <c r="H45" s="1162"/>
      <c r="I45" s="555"/>
      <c r="J45" s="556"/>
      <c r="K45" s="558">
        <v>0</v>
      </c>
      <c r="L45" s="5"/>
    </row>
    <row r="46" spans="2:15" ht="15.75" thickBot="1" x14ac:dyDescent="0.3">
      <c r="B46" s="618">
        <v>17</v>
      </c>
      <c r="C46" s="621" t="s">
        <v>417</v>
      </c>
      <c r="D46" s="622"/>
      <c r="E46" s="622"/>
      <c r="F46" s="622"/>
      <c r="G46" s="622"/>
      <c r="H46" s="623"/>
      <c r="I46" s="608"/>
      <c r="J46" s="609"/>
      <c r="K46" s="610">
        <f>K44-K45</f>
        <v>180529600.72499999</v>
      </c>
      <c r="L46" s="5"/>
    </row>
    <row r="47" spans="2:15" x14ac:dyDescent="0.25">
      <c r="B47" s="602"/>
      <c r="C47" s="626"/>
      <c r="D47" s="626"/>
      <c r="E47" s="626"/>
      <c r="F47" s="626"/>
      <c r="G47" s="626"/>
      <c r="H47" s="626"/>
      <c r="I47" s="614"/>
      <c r="J47" s="615"/>
      <c r="K47" s="616"/>
      <c r="L47" s="5"/>
    </row>
    <row r="48" spans="2:15" x14ac:dyDescent="0.25">
      <c r="B48" s="603"/>
      <c r="C48" s="1158" t="s">
        <v>191</v>
      </c>
      <c r="D48" s="1159"/>
      <c r="E48" s="1159"/>
      <c r="F48" s="1159"/>
      <c r="G48" s="1159"/>
      <c r="H48" s="1160"/>
      <c r="I48" s="555"/>
      <c r="J48" s="556"/>
      <c r="K48" s="617">
        <v>129645846</v>
      </c>
      <c r="L48" s="5"/>
    </row>
    <row r="49" spans="2:15" x14ac:dyDescent="0.25">
      <c r="B49" s="603">
        <v>18</v>
      </c>
      <c r="C49" s="1162" t="s">
        <v>418</v>
      </c>
      <c r="D49" s="1162"/>
      <c r="E49" s="1162"/>
      <c r="F49" s="1162"/>
      <c r="G49" s="1162"/>
      <c r="H49" s="1162"/>
      <c r="I49" s="555"/>
      <c r="J49" s="556"/>
      <c r="K49" s="558">
        <f>K48*22.5%</f>
        <v>29170315.350000001</v>
      </c>
      <c r="L49" s="129">
        <f>K49*0.225</f>
        <v>6563320.9537500003</v>
      </c>
    </row>
    <row r="50" spans="2:15" ht="15.75" thickBot="1" x14ac:dyDescent="0.3">
      <c r="B50" s="603">
        <v>19</v>
      </c>
      <c r="C50" s="1162" t="s">
        <v>192</v>
      </c>
      <c r="D50" s="1162"/>
      <c r="E50" s="1162"/>
      <c r="F50" s="1162"/>
      <c r="G50" s="1162"/>
      <c r="H50" s="1162"/>
      <c r="I50" s="555"/>
      <c r="J50" s="556"/>
      <c r="K50" s="558">
        <v>20610000</v>
      </c>
      <c r="L50" s="129">
        <f>K50*0.225</f>
        <v>4637250</v>
      </c>
    </row>
    <row r="51" spans="2:15" ht="15.75" thickBot="1" x14ac:dyDescent="0.3">
      <c r="B51" s="618">
        <v>20</v>
      </c>
      <c r="C51" s="621" t="s">
        <v>419</v>
      </c>
      <c r="D51" s="622"/>
      <c r="E51" s="622"/>
      <c r="F51" s="622"/>
      <c r="G51" s="622"/>
      <c r="H51" s="623"/>
      <c r="I51" s="608"/>
      <c r="J51" s="609"/>
      <c r="K51" s="610">
        <f>K49-K50</f>
        <v>8560315.3500000015</v>
      </c>
      <c r="L51" s="129">
        <f>K51*0.225</f>
        <v>1926070.9537500003</v>
      </c>
    </row>
    <row r="52" spans="2:15" x14ac:dyDescent="0.25">
      <c r="B52" s="629"/>
      <c r="C52" s="611"/>
      <c r="D52" s="612"/>
      <c r="E52" s="612"/>
      <c r="F52" s="612"/>
      <c r="G52" s="612"/>
      <c r="H52" s="613"/>
      <c r="I52" s="614"/>
      <c r="J52" s="615"/>
      <c r="K52" s="616"/>
      <c r="L52" s="129"/>
    </row>
    <row r="53" spans="2:15" x14ac:dyDescent="0.25">
      <c r="B53" s="634"/>
      <c r="C53" s="1158" t="s">
        <v>193</v>
      </c>
      <c r="D53" s="1159"/>
      <c r="E53" s="1159"/>
      <c r="F53" s="1159"/>
      <c r="G53" s="1159"/>
      <c r="H53" s="1160"/>
      <c r="I53" s="555"/>
      <c r="J53" s="556"/>
      <c r="K53" s="628">
        <v>252972040</v>
      </c>
      <c r="L53" s="5"/>
    </row>
    <row r="54" spans="2:15" x14ac:dyDescent="0.25">
      <c r="B54" s="634">
        <v>21</v>
      </c>
      <c r="C54" s="1182" t="s">
        <v>420</v>
      </c>
      <c r="D54" s="1162"/>
      <c r="E54" s="1162"/>
      <c r="F54" s="1162"/>
      <c r="G54" s="1162"/>
      <c r="H54" s="1183"/>
      <c r="I54" s="555"/>
      <c r="J54" s="556"/>
      <c r="K54" s="558">
        <f>K53*22.5%</f>
        <v>56918709</v>
      </c>
      <c r="L54" s="129">
        <f>K54*0.225</f>
        <v>12806709.525</v>
      </c>
    </row>
    <row r="55" spans="2:15" ht="15.75" thickBot="1" x14ac:dyDescent="0.3">
      <c r="B55" s="634">
        <v>22</v>
      </c>
      <c r="C55" s="1179" t="s">
        <v>192</v>
      </c>
      <c r="D55" s="1180"/>
      <c r="E55" s="1180"/>
      <c r="F55" s="1180"/>
      <c r="G55" s="1180"/>
      <c r="H55" s="1181"/>
      <c r="I55" s="555"/>
      <c r="J55" s="556"/>
      <c r="K55" s="558">
        <v>38873250</v>
      </c>
      <c r="L55" s="129">
        <f>K55*0.225</f>
        <v>8746481.25</v>
      </c>
    </row>
    <row r="56" spans="2:15" ht="15.75" thickBot="1" x14ac:dyDescent="0.3">
      <c r="B56" s="607">
        <v>23</v>
      </c>
      <c r="C56" s="559" t="s">
        <v>421</v>
      </c>
      <c r="D56" s="560"/>
      <c r="E56" s="560"/>
      <c r="F56" s="560"/>
      <c r="G56" s="560"/>
      <c r="H56" s="561"/>
      <c r="I56" s="625"/>
      <c r="J56" s="619"/>
      <c r="K56" s="620">
        <f>K54-K55</f>
        <v>18045459</v>
      </c>
      <c r="L56" s="129">
        <f>K56*0.225</f>
        <v>4060228.2749999999</v>
      </c>
    </row>
    <row r="57" spans="2:15" x14ac:dyDescent="0.25">
      <c r="B57" s="635"/>
      <c r="C57" s="630"/>
      <c r="D57" s="626"/>
      <c r="E57" s="626"/>
      <c r="F57" s="626"/>
      <c r="G57" s="626"/>
      <c r="H57" s="631"/>
      <c r="I57" s="614"/>
      <c r="J57" s="615"/>
      <c r="K57" s="616"/>
      <c r="L57" s="5"/>
      <c r="O57" s="241"/>
    </row>
    <row r="58" spans="2:15" x14ac:dyDescent="0.25">
      <c r="B58" s="632"/>
      <c r="C58" s="1158" t="s">
        <v>194</v>
      </c>
      <c r="D58" s="1159"/>
      <c r="E58" s="1159"/>
      <c r="F58" s="1159"/>
      <c r="G58" s="1159"/>
      <c r="H58" s="1160"/>
      <c r="I58" s="555"/>
      <c r="J58" s="556"/>
      <c r="K58" s="617">
        <v>41615671</v>
      </c>
      <c r="L58" s="129"/>
      <c r="O58" s="156"/>
    </row>
    <row r="59" spans="2:15" x14ac:dyDescent="0.25">
      <c r="B59" s="632">
        <v>24</v>
      </c>
      <c r="C59" s="1182" t="s">
        <v>422</v>
      </c>
      <c r="D59" s="1162"/>
      <c r="E59" s="1162"/>
      <c r="F59" s="1162"/>
      <c r="G59" s="1162"/>
      <c r="H59" s="1183"/>
      <c r="I59" s="555"/>
      <c r="J59" s="556"/>
      <c r="K59" s="558">
        <f>K58*22.5%</f>
        <v>9363525.9749999996</v>
      </c>
      <c r="L59" s="129">
        <f>K59*0.225</f>
        <v>2106793.3443749999</v>
      </c>
      <c r="O59" s="242"/>
    </row>
    <row r="60" spans="2:15" ht="15.75" thickBot="1" x14ac:dyDescent="0.3">
      <c r="B60" s="632">
        <v>25</v>
      </c>
      <c r="C60" s="1179"/>
      <c r="D60" s="1180"/>
      <c r="E60" s="1180"/>
      <c r="F60" s="1180"/>
      <c r="G60" s="1180"/>
      <c r="H60" s="1181"/>
      <c r="I60" s="555"/>
      <c r="J60" s="556"/>
      <c r="K60" s="558"/>
      <c r="L60" s="129">
        <f>K60*0.225</f>
        <v>0</v>
      </c>
    </row>
    <row r="61" spans="2:15" ht="15.75" thickBot="1" x14ac:dyDescent="0.3">
      <c r="B61" s="618">
        <v>26</v>
      </c>
      <c r="C61" s="621" t="s">
        <v>423</v>
      </c>
      <c r="D61" s="622"/>
      <c r="E61" s="622"/>
      <c r="F61" s="622"/>
      <c r="G61" s="622"/>
      <c r="H61" s="623"/>
      <c r="I61" s="608"/>
      <c r="J61" s="609"/>
      <c r="K61" s="610">
        <f>K59-K60</f>
        <v>9363525.9749999996</v>
      </c>
      <c r="L61" s="129">
        <f>K61*0.225</f>
        <v>2106793.3443749999</v>
      </c>
    </row>
    <row r="62" spans="2:15" x14ac:dyDescent="0.25">
      <c r="B62" s="602"/>
      <c r="C62" s="630"/>
      <c r="D62" s="626"/>
      <c r="E62" s="626"/>
      <c r="F62" s="626"/>
      <c r="G62" s="626"/>
      <c r="H62" s="631"/>
      <c r="I62" s="614"/>
      <c r="J62" s="615"/>
      <c r="K62" s="616"/>
      <c r="L62" s="129"/>
    </row>
    <row r="63" spans="2:15" x14ac:dyDescent="0.25">
      <c r="B63" s="603"/>
      <c r="C63" s="1158" t="s">
        <v>195</v>
      </c>
      <c r="D63" s="1159"/>
      <c r="E63" s="1159"/>
      <c r="F63" s="1159"/>
      <c r="G63" s="1159"/>
      <c r="H63" s="1160"/>
      <c r="I63" s="555"/>
      <c r="J63" s="556"/>
      <c r="K63" s="617">
        <v>11660569</v>
      </c>
      <c r="L63" s="129"/>
    </row>
    <row r="64" spans="2:15" x14ac:dyDescent="0.25">
      <c r="B64" s="603">
        <v>27</v>
      </c>
      <c r="C64" s="1161" t="s">
        <v>424</v>
      </c>
      <c r="D64" s="1161"/>
      <c r="E64" s="1161"/>
      <c r="F64" s="1161"/>
      <c r="G64" s="1161"/>
      <c r="H64" s="1161"/>
      <c r="I64" s="555"/>
      <c r="J64" s="556"/>
      <c r="K64" s="558">
        <f>K63*22.5%</f>
        <v>2623628.0249999999</v>
      </c>
      <c r="L64" s="129">
        <f>K64*0.225</f>
        <v>590316.30562500004</v>
      </c>
    </row>
    <row r="65" spans="2:13" ht="15.75" thickBot="1" x14ac:dyDescent="0.3">
      <c r="B65" s="603">
        <v>28</v>
      </c>
      <c r="C65" s="1162"/>
      <c r="D65" s="1162"/>
      <c r="E65" s="1162"/>
      <c r="F65" s="1162"/>
      <c r="G65" s="1162"/>
      <c r="H65" s="1162"/>
      <c r="I65" s="555"/>
      <c r="J65" s="556"/>
      <c r="K65" s="558"/>
      <c r="L65" s="5"/>
    </row>
    <row r="66" spans="2:13" ht="15.75" thickBot="1" x14ac:dyDescent="0.3">
      <c r="B66" s="618">
        <v>29</v>
      </c>
      <c r="C66" s="559"/>
      <c r="D66" s="560"/>
      <c r="E66" s="560"/>
      <c r="F66" s="560"/>
      <c r="G66" s="560"/>
      <c r="H66" s="561"/>
      <c r="I66" s="625"/>
      <c r="J66" s="619"/>
      <c r="K66" s="562">
        <f>K64-K65</f>
        <v>2623628.0249999999</v>
      </c>
      <c r="L66" s="5"/>
    </row>
    <row r="67" spans="2:13" ht="15.75" thickBot="1" x14ac:dyDescent="0.3">
      <c r="B67" s="633"/>
      <c r="C67" s="1163" t="s">
        <v>65</v>
      </c>
      <c r="D67" s="1164"/>
      <c r="E67" s="1164"/>
      <c r="F67" s="1164"/>
      <c r="G67" s="1164"/>
      <c r="H67" s="1165"/>
      <c r="I67" s="1166"/>
      <c r="J67" s="1167"/>
      <c r="K67" s="1168"/>
      <c r="L67" s="5"/>
    </row>
    <row r="68" spans="2:13" ht="15.75" thickBot="1" x14ac:dyDescent="0.3">
      <c r="B68" s="1170" t="s">
        <v>444</v>
      </c>
      <c r="C68" s="1171"/>
      <c r="D68" s="1171"/>
      <c r="E68" s="1171"/>
      <c r="F68" s="1171"/>
      <c r="G68" s="1171"/>
      <c r="H68" s="1171"/>
      <c r="I68" s="1171"/>
      <c r="J68" s="1171"/>
      <c r="K68" s="1171"/>
      <c r="L68" s="5"/>
    </row>
    <row r="69" spans="2:13" x14ac:dyDescent="0.25">
      <c r="B69" s="227">
        <v>1</v>
      </c>
      <c r="C69" s="1172" t="s">
        <v>445</v>
      </c>
      <c r="D69" s="1162"/>
      <c r="E69" s="1162"/>
      <c r="F69" s="1162"/>
      <c r="G69" s="1162"/>
      <c r="H69" s="1173"/>
      <c r="I69" s="228"/>
      <c r="J69" s="229"/>
      <c r="K69" s="876">
        <v>35000000</v>
      </c>
      <c r="L69" s="5"/>
      <c r="M69" s="213"/>
    </row>
    <row r="70" spans="2:13" x14ac:dyDescent="0.25">
      <c r="B70" s="227">
        <v>2</v>
      </c>
      <c r="C70" s="1172" t="s">
        <v>446</v>
      </c>
      <c r="D70" s="1162"/>
      <c r="E70" s="1162"/>
      <c r="F70" s="1162"/>
      <c r="G70" s="1162"/>
      <c r="H70" s="1173"/>
      <c r="I70" s="877"/>
      <c r="J70" s="593"/>
      <c r="K70" s="878">
        <v>0</v>
      </c>
      <c r="L70" s="5"/>
      <c r="M70" s="123"/>
    </row>
    <row r="71" spans="2:13" x14ac:dyDescent="0.25">
      <c r="B71" s="227">
        <v>3</v>
      </c>
      <c r="C71" s="819" t="s">
        <v>179</v>
      </c>
      <c r="D71" s="820"/>
      <c r="E71" s="820"/>
      <c r="F71" s="820"/>
      <c r="G71" s="820"/>
      <c r="H71" s="821"/>
      <c r="I71" s="824"/>
      <c r="J71" s="825"/>
      <c r="K71" s="822">
        <f>K69-K70</f>
        <v>35000000</v>
      </c>
      <c r="L71" s="5"/>
    </row>
    <row r="72" spans="2:13" x14ac:dyDescent="0.25">
      <c r="B72" s="227">
        <v>4</v>
      </c>
      <c r="C72" s="1172" t="s">
        <v>180</v>
      </c>
      <c r="D72" s="1162"/>
      <c r="E72" s="1162"/>
      <c r="F72" s="1162"/>
      <c r="G72" s="1162"/>
      <c r="H72" s="1173"/>
      <c r="I72" s="1174">
        <f>K71*20%</f>
        <v>7000000</v>
      </c>
      <c r="J72" s="1175"/>
      <c r="K72" s="1175"/>
      <c r="L72" s="5"/>
      <c r="M72" s="123"/>
    </row>
    <row r="73" spans="2:13" x14ac:dyDescent="0.25">
      <c r="B73" s="227">
        <v>5</v>
      </c>
      <c r="C73" s="1172" t="s">
        <v>181</v>
      </c>
      <c r="D73" s="1162"/>
      <c r="E73" s="1162"/>
      <c r="F73" s="1162"/>
      <c r="G73" s="1162"/>
      <c r="H73" s="1173"/>
      <c r="I73" s="1174">
        <f>K70*22.5%</f>
        <v>0</v>
      </c>
      <c r="J73" s="1175"/>
      <c r="K73" s="1175"/>
      <c r="L73" s="5"/>
    </row>
    <row r="74" spans="2:13" ht="15.75" thickBot="1" x14ac:dyDescent="0.3">
      <c r="B74" s="227">
        <v>6</v>
      </c>
      <c r="C74" s="1172" t="s">
        <v>447</v>
      </c>
      <c r="D74" s="1162"/>
      <c r="E74" s="1162"/>
      <c r="F74" s="1162"/>
      <c r="G74" s="1162"/>
      <c r="H74" s="1173"/>
      <c r="I74" s="1199"/>
      <c r="J74" s="1185"/>
      <c r="K74" s="1185"/>
      <c r="L74" s="5"/>
    </row>
    <row r="75" spans="2:13" x14ac:dyDescent="0.25">
      <c r="B75" s="632"/>
      <c r="C75" s="1214" t="s">
        <v>448</v>
      </c>
      <c r="D75" s="1215"/>
      <c r="E75" s="1215"/>
      <c r="F75" s="1215"/>
      <c r="G75" s="1215"/>
      <c r="H75" s="1215"/>
      <c r="I75" s="1216">
        <f>K71*60%</f>
        <v>21000000</v>
      </c>
      <c r="J75" s="1216"/>
      <c r="K75" s="1217"/>
      <c r="L75" s="5"/>
    </row>
    <row r="76" spans="2:13" x14ac:dyDescent="0.25">
      <c r="B76" s="632"/>
      <c r="C76" s="1222" t="s">
        <v>449</v>
      </c>
      <c r="D76" s="1223"/>
      <c r="E76" s="1223"/>
      <c r="F76" s="1223"/>
      <c r="G76" s="1223"/>
      <c r="H76" s="1223"/>
      <c r="I76" s="1224">
        <f>K71*30%</f>
        <v>10500000</v>
      </c>
      <c r="J76" s="1224"/>
      <c r="K76" s="1225"/>
      <c r="L76" s="5"/>
    </row>
    <row r="77" spans="2:13" x14ac:dyDescent="0.25">
      <c r="B77" s="632"/>
      <c r="C77" s="1222" t="s">
        <v>450</v>
      </c>
      <c r="D77" s="1223"/>
      <c r="E77" s="1223"/>
      <c r="F77" s="1223"/>
      <c r="G77" s="1223"/>
      <c r="H77" s="1223"/>
      <c r="I77" s="1224">
        <f>K71*10%</f>
        <v>3500000</v>
      </c>
      <c r="J77" s="1224"/>
      <c r="K77" s="1225"/>
      <c r="L77" s="5"/>
    </row>
    <row r="78" spans="2:13" x14ac:dyDescent="0.25">
      <c r="B78" s="632"/>
      <c r="C78" s="1222" t="s">
        <v>451</v>
      </c>
      <c r="D78" s="1223"/>
      <c r="E78" s="1223"/>
      <c r="F78" s="1223"/>
      <c r="G78" s="1223"/>
      <c r="H78" s="1223"/>
      <c r="I78" s="879">
        <f>SUM(I75:I77)</f>
        <v>35000000</v>
      </c>
      <c r="J78" s="879"/>
      <c r="K78" s="880">
        <f>SUM(I78)</f>
        <v>35000000</v>
      </c>
      <c r="L78" s="5"/>
    </row>
    <row r="79" spans="2:13" ht="15.75" thickBot="1" x14ac:dyDescent="0.3">
      <c r="B79" s="618">
        <v>6</v>
      </c>
      <c r="C79" s="1218" t="s">
        <v>452</v>
      </c>
      <c r="D79" s="1219"/>
      <c r="E79" s="1219"/>
      <c r="F79" s="1219"/>
      <c r="G79" s="1219"/>
      <c r="H79" s="1219"/>
      <c r="I79" s="1220">
        <f>K71+I73</f>
        <v>35000000</v>
      </c>
      <c r="J79" s="1220"/>
      <c r="K79" s="1221"/>
      <c r="L79" s="5"/>
    </row>
    <row r="80" spans="2:13" x14ac:dyDescent="0.25">
      <c r="B80" s="103"/>
      <c r="C80" s="823"/>
      <c r="D80" s="823"/>
      <c r="E80" s="823"/>
      <c r="F80" s="823"/>
      <c r="G80" s="823"/>
      <c r="H80" s="823"/>
      <c r="I80" s="875"/>
      <c r="J80" s="875"/>
      <c r="K80" s="875"/>
      <c r="L80" s="5"/>
    </row>
    <row r="81" spans="2:21" x14ac:dyDescent="0.25">
      <c r="B81" s="103"/>
      <c r="C81" s="823"/>
      <c r="D81" s="823"/>
      <c r="E81" s="823"/>
      <c r="F81" s="823"/>
      <c r="G81" s="823"/>
      <c r="H81" s="823"/>
      <c r="I81" s="875"/>
      <c r="J81" s="875"/>
      <c r="K81" s="875"/>
      <c r="L81" s="5"/>
    </row>
    <row r="82" spans="2:21" x14ac:dyDescent="0.25">
      <c r="B82" s="103"/>
      <c r="C82" s="823"/>
      <c r="D82" s="823"/>
      <c r="E82" s="823"/>
      <c r="F82" s="823"/>
      <c r="G82" s="823"/>
      <c r="H82" s="823"/>
      <c r="I82" s="875"/>
      <c r="J82" s="875"/>
      <c r="K82" s="875"/>
      <c r="L82" s="5"/>
    </row>
    <row r="83" spans="2:21" x14ac:dyDescent="0.25">
      <c r="B83" s="103"/>
      <c r="C83" s="823"/>
      <c r="D83" s="823"/>
      <c r="E83" s="823"/>
      <c r="F83" s="823"/>
      <c r="G83" s="823"/>
      <c r="H83" s="823"/>
      <c r="I83" s="875"/>
      <c r="J83" s="875"/>
      <c r="K83" s="875"/>
      <c r="L83" s="5"/>
    </row>
    <row r="84" spans="2:21" x14ac:dyDescent="0.25">
      <c r="B84" s="103"/>
      <c r="C84" s="823"/>
      <c r="D84" s="823"/>
      <c r="E84" s="823"/>
      <c r="F84" s="823"/>
      <c r="G84" s="823"/>
      <c r="H84" s="823"/>
      <c r="I84" s="875"/>
      <c r="J84" s="875"/>
      <c r="K84" s="875"/>
      <c r="L84" s="5"/>
    </row>
    <row r="85" spans="2:21" x14ac:dyDescent="0.25">
      <c r="C85" s="101"/>
      <c r="D85" s="101"/>
      <c r="E85" s="101"/>
      <c r="F85" s="101"/>
      <c r="G85" s="101"/>
      <c r="H85" s="101"/>
      <c r="I85" s="102"/>
      <c r="J85" s="102"/>
      <c r="K85" s="5"/>
      <c r="L85" s="5"/>
    </row>
    <row r="86" spans="2:21" ht="15" customHeight="1" x14ac:dyDescent="0.25">
      <c r="C86" s="101" t="s">
        <v>433</v>
      </c>
      <c r="D86" s="101"/>
      <c r="E86" s="101"/>
      <c r="F86" s="101"/>
      <c r="G86" s="101"/>
      <c r="H86" s="101"/>
      <c r="I86" s="102"/>
      <c r="J86" s="102"/>
      <c r="K86" s="5"/>
      <c r="L86" s="5"/>
    </row>
    <row r="87" spans="2:21" ht="9.6" customHeight="1" x14ac:dyDescent="0.25"/>
    <row r="88" spans="2:21" ht="18" customHeight="1" x14ac:dyDescent="0.25"/>
    <row r="89" spans="2:21" ht="15" customHeight="1" x14ac:dyDescent="0.25">
      <c r="C89" s="1169" t="s">
        <v>13</v>
      </c>
      <c r="D89" s="1155">
        <v>2010</v>
      </c>
      <c r="E89" s="1156"/>
      <c r="F89" s="1157"/>
      <c r="G89" s="1155">
        <v>2011</v>
      </c>
      <c r="H89" s="1156"/>
      <c r="I89" s="1157"/>
      <c r="J89" s="243"/>
      <c r="K89" s="1155">
        <v>2017</v>
      </c>
      <c r="L89" s="1156"/>
      <c r="M89" s="1157"/>
      <c r="N89" s="1155">
        <v>2018</v>
      </c>
      <c r="O89" s="1156"/>
      <c r="P89" s="1157"/>
      <c r="Q89" s="76"/>
      <c r="R89" s="1035" t="s">
        <v>197</v>
      </c>
      <c r="S89" s="76"/>
    </row>
    <row r="90" spans="2:21" ht="15" customHeight="1" x14ac:dyDescent="0.25">
      <c r="C90" s="1169"/>
      <c r="D90" s="215" t="s">
        <v>166</v>
      </c>
      <c r="E90" s="215" t="s">
        <v>167</v>
      </c>
      <c r="F90" s="215" t="s">
        <v>168</v>
      </c>
      <c r="G90" s="215" t="s">
        <v>166</v>
      </c>
      <c r="H90" s="215" t="s">
        <v>167</v>
      </c>
      <c r="I90" s="215" t="s">
        <v>168</v>
      </c>
      <c r="J90" s="215"/>
      <c r="K90" s="215" t="s">
        <v>166</v>
      </c>
      <c r="L90" s="215" t="s">
        <v>167</v>
      </c>
      <c r="M90" s="244" t="s">
        <v>168</v>
      </c>
      <c r="N90" s="215" t="s">
        <v>166</v>
      </c>
      <c r="O90" s="215" t="s">
        <v>167</v>
      </c>
      <c r="P90" s="244" t="s">
        <v>168</v>
      </c>
      <c r="Q90" s="76"/>
      <c r="R90" s="1035"/>
      <c r="S90" s="76"/>
    </row>
    <row r="91" spans="2:21" ht="15" customHeight="1" x14ac:dyDescent="0.25">
      <c r="C91" s="596" t="s">
        <v>146</v>
      </c>
      <c r="D91" s="49">
        <v>1682502</v>
      </c>
      <c r="E91" s="245">
        <v>4238017</v>
      </c>
      <c r="F91" s="246">
        <f t="shared" ref="F91:F111" si="0">D91+E91</f>
        <v>5920519</v>
      </c>
      <c r="G91" s="49">
        <v>1970081.77</v>
      </c>
      <c r="H91" s="49">
        <v>4430528</v>
      </c>
      <c r="I91" s="246">
        <f t="shared" ref="I91:I111" si="1">G91+H91</f>
        <v>6400609.7699999996</v>
      </c>
      <c r="J91" s="247">
        <f>I91/F91</f>
        <v>1.0810893048396601</v>
      </c>
      <c r="K91" s="49">
        <v>4600138</v>
      </c>
      <c r="L91" s="49">
        <v>6164575</v>
      </c>
      <c r="M91" s="49">
        <f>SUM(K91:L91)</f>
        <v>10764713</v>
      </c>
      <c r="N91" s="49">
        <v>3847011</v>
      </c>
      <c r="O91" s="49">
        <v>7359180</v>
      </c>
      <c r="P91" s="246">
        <f>SUM(N91:O91)</f>
        <v>11206191</v>
      </c>
      <c r="R91" s="122">
        <f>P91/M91</f>
        <v>1.0410115903693855</v>
      </c>
      <c r="S91" s="248"/>
      <c r="T91" s="122"/>
      <c r="U91" s="123"/>
    </row>
    <row r="92" spans="2:21" ht="15" customHeight="1" x14ac:dyDescent="0.25">
      <c r="C92" s="596" t="s">
        <v>147</v>
      </c>
      <c r="D92" s="49">
        <v>1426148</v>
      </c>
      <c r="E92" s="245">
        <v>1269045.2039224801</v>
      </c>
      <c r="F92" s="246">
        <f>D92+E92</f>
        <v>2695193.2039224803</v>
      </c>
      <c r="G92" s="49">
        <v>1509150</v>
      </c>
      <c r="H92" s="49">
        <v>1369030</v>
      </c>
      <c r="I92" s="246">
        <f>G92+H92</f>
        <v>2878180</v>
      </c>
      <c r="J92" s="247">
        <f t="shared" ref="J92:J110" si="2">I92/F92</f>
        <v>1.0678937583440058</v>
      </c>
      <c r="K92" s="49">
        <v>1868560</v>
      </c>
      <c r="L92" s="49">
        <v>4098808</v>
      </c>
      <c r="M92" s="49">
        <f t="shared" ref="M92:M110" si="3">SUM(K92:L92)</f>
        <v>5967368</v>
      </c>
      <c r="N92" s="49">
        <v>2203748</v>
      </c>
      <c r="O92" s="49">
        <v>4292333</v>
      </c>
      <c r="P92" s="246">
        <f>N92+O92</f>
        <v>6496081</v>
      </c>
      <c r="R92" s="122">
        <f t="shared" ref="R92:R110" si="4">P92/M92</f>
        <v>1.0886007030235105</v>
      </c>
      <c r="S92" s="248"/>
      <c r="T92" s="122"/>
      <c r="U92" s="123"/>
    </row>
    <row r="93" spans="2:21" ht="15" customHeight="1" x14ac:dyDescent="0.25">
      <c r="C93" s="596" t="s">
        <v>148</v>
      </c>
      <c r="D93" s="49">
        <v>2556102</v>
      </c>
      <c r="E93" s="245">
        <v>1591529</v>
      </c>
      <c r="F93" s="246">
        <f t="shared" si="0"/>
        <v>4147631</v>
      </c>
      <c r="G93" s="49">
        <v>1516908</v>
      </c>
      <c r="H93" s="49">
        <v>1406499</v>
      </c>
      <c r="I93" s="246">
        <f t="shared" si="1"/>
        <v>2923407</v>
      </c>
      <c r="J93" s="247">
        <f t="shared" si="2"/>
        <v>0.70483777365922862</v>
      </c>
      <c r="K93" s="49">
        <v>272482</v>
      </c>
      <c r="L93" s="49">
        <v>801471</v>
      </c>
      <c r="M93" s="49">
        <f t="shared" si="3"/>
        <v>1073953</v>
      </c>
      <c r="N93" s="49">
        <v>2211427</v>
      </c>
      <c r="O93" s="49">
        <v>1095526</v>
      </c>
      <c r="P93" s="246">
        <f t="shared" ref="P93:P110" si="5">N93+O93</f>
        <v>3306953</v>
      </c>
      <c r="R93" s="122">
        <f t="shared" si="4"/>
        <v>3.0792343799030313</v>
      </c>
      <c r="S93" s="248"/>
      <c r="T93" s="122"/>
      <c r="U93" s="123"/>
    </row>
    <row r="94" spans="2:21" ht="15" customHeight="1" x14ac:dyDescent="0.25">
      <c r="C94" s="596" t="s">
        <v>149</v>
      </c>
      <c r="D94" s="49">
        <v>78746014</v>
      </c>
      <c r="E94" s="245">
        <v>45839494.140000001</v>
      </c>
      <c r="F94" s="246">
        <f>D94+E94</f>
        <v>124585508.14</v>
      </c>
      <c r="G94" s="49">
        <v>78848903</v>
      </c>
      <c r="H94" s="49">
        <v>64656269</v>
      </c>
      <c r="I94" s="246">
        <f>G94+H94</f>
        <v>143505172</v>
      </c>
      <c r="J94" s="247">
        <f t="shared" si="2"/>
        <v>1.1518608716411822</v>
      </c>
      <c r="K94" s="49">
        <v>154339475</v>
      </c>
      <c r="L94" s="49">
        <v>114466230</v>
      </c>
      <c r="M94" s="49">
        <f t="shared" si="3"/>
        <v>268805705</v>
      </c>
      <c r="N94" s="49">
        <v>170774917</v>
      </c>
      <c r="O94" s="49">
        <v>122745095</v>
      </c>
      <c r="P94" s="246">
        <f>N94+O94</f>
        <v>293520012</v>
      </c>
      <c r="R94" s="122">
        <f t="shared" si="4"/>
        <v>1.0919411550435658</v>
      </c>
      <c r="S94" s="248"/>
      <c r="T94" s="122"/>
      <c r="U94" s="123"/>
    </row>
    <row r="95" spans="2:21" ht="15" customHeight="1" x14ac:dyDescent="0.25">
      <c r="C95" s="596" t="s">
        <v>150</v>
      </c>
      <c r="D95" s="49">
        <v>10223733</v>
      </c>
      <c r="E95" s="245">
        <v>19002626</v>
      </c>
      <c r="F95" s="246">
        <f t="shared" si="0"/>
        <v>29226359</v>
      </c>
      <c r="G95" s="49">
        <v>11239004</v>
      </c>
      <c r="H95" s="49">
        <v>19033512</v>
      </c>
      <c r="I95" s="246">
        <f t="shared" si="1"/>
        <v>30272516</v>
      </c>
      <c r="J95" s="247">
        <f t="shared" si="2"/>
        <v>1.0357949821939845</v>
      </c>
      <c r="K95" s="49">
        <v>15872814</v>
      </c>
      <c r="L95" s="49">
        <v>9610927</v>
      </c>
      <c r="M95" s="49">
        <f t="shared" si="3"/>
        <v>25483741</v>
      </c>
      <c r="N95" s="49">
        <v>15746604</v>
      </c>
      <c r="O95" s="49">
        <v>10379876</v>
      </c>
      <c r="P95" s="246">
        <f t="shared" si="5"/>
        <v>26126480</v>
      </c>
      <c r="R95" s="122">
        <f t="shared" si="4"/>
        <v>1.0252215324272838</v>
      </c>
      <c r="S95" s="248"/>
      <c r="T95" s="122"/>
      <c r="U95" s="123"/>
    </row>
    <row r="96" spans="2:21" ht="15" customHeight="1" x14ac:dyDescent="0.25">
      <c r="C96" s="596" t="s">
        <v>151</v>
      </c>
      <c r="D96" s="49">
        <v>15115</v>
      </c>
      <c r="E96" s="245">
        <v>747024.60800000001</v>
      </c>
      <c r="F96" s="246">
        <f>D96+E96</f>
        <v>762139.60800000001</v>
      </c>
      <c r="G96" s="49">
        <v>15047.65</v>
      </c>
      <c r="H96" s="49">
        <v>46822</v>
      </c>
      <c r="I96" s="246">
        <f>G96+H96</f>
        <v>61869.65</v>
      </c>
      <c r="J96" s="247">
        <f t="shared" si="2"/>
        <v>8.1178893408200878E-2</v>
      </c>
      <c r="K96" s="49">
        <v>23315</v>
      </c>
      <c r="L96" s="49">
        <v>123172</v>
      </c>
      <c r="M96" s="49">
        <f t="shared" si="3"/>
        <v>146487</v>
      </c>
      <c r="N96" s="49">
        <v>33467</v>
      </c>
      <c r="O96" s="49">
        <v>82331</v>
      </c>
      <c r="P96" s="246">
        <f>N96+O96</f>
        <v>115798</v>
      </c>
      <c r="R96" s="122">
        <f t="shared" si="4"/>
        <v>0.79050018090342489</v>
      </c>
      <c r="S96" s="248"/>
      <c r="T96" s="122"/>
      <c r="U96" s="123"/>
    </row>
    <row r="97" spans="3:21" ht="15" customHeight="1" x14ac:dyDescent="0.25">
      <c r="C97" s="596" t="s">
        <v>152</v>
      </c>
      <c r="D97" s="49">
        <v>39804</v>
      </c>
      <c r="E97" s="245">
        <v>70181</v>
      </c>
      <c r="F97" s="246">
        <f>D97+E97</f>
        <v>109985</v>
      </c>
      <c r="G97" s="49">
        <v>11353.99</v>
      </c>
      <c r="H97" s="49">
        <v>108200</v>
      </c>
      <c r="I97" s="246">
        <f>G97+H97</f>
        <v>119553.99</v>
      </c>
      <c r="J97" s="247">
        <f t="shared" si="2"/>
        <v>1.0870026821839343</v>
      </c>
      <c r="K97" s="49">
        <v>10148</v>
      </c>
      <c r="L97" s="49">
        <v>27360</v>
      </c>
      <c r="M97" s="49">
        <f t="shared" si="3"/>
        <v>37508</v>
      </c>
      <c r="N97" s="49">
        <v>13603</v>
      </c>
      <c r="O97" s="49">
        <v>78610</v>
      </c>
      <c r="P97" s="246">
        <f>N97+O97</f>
        <v>92213</v>
      </c>
      <c r="R97" s="122">
        <f t="shared" si="4"/>
        <v>2.4584888557107818</v>
      </c>
      <c r="S97" s="248"/>
      <c r="T97" s="122"/>
      <c r="U97" s="123"/>
    </row>
    <row r="98" spans="3:21" ht="15" customHeight="1" x14ac:dyDescent="0.25">
      <c r="C98" s="596" t="s">
        <v>153</v>
      </c>
      <c r="D98" s="49">
        <v>3802609</v>
      </c>
      <c r="E98" s="245">
        <v>3607111</v>
      </c>
      <c r="F98" s="246">
        <f t="shared" si="0"/>
        <v>7409720</v>
      </c>
      <c r="G98" s="49">
        <v>5015719</v>
      </c>
      <c r="H98" s="49">
        <v>3584924</v>
      </c>
      <c r="I98" s="246">
        <f t="shared" si="1"/>
        <v>8600643</v>
      </c>
      <c r="J98" s="247">
        <f t="shared" si="2"/>
        <v>1.1607244268339425</v>
      </c>
      <c r="K98" s="49">
        <v>9995787</v>
      </c>
      <c r="L98" s="49">
        <v>2921966</v>
      </c>
      <c r="M98" s="49">
        <f t="shared" si="3"/>
        <v>12917753</v>
      </c>
      <c r="N98" s="49">
        <v>5696258</v>
      </c>
      <c r="O98" s="49">
        <v>5984263</v>
      </c>
      <c r="P98" s="246">
        <f t="shared" si="5"/>
        <v>11680521</v>
      </c>
      <c r="R98" s="122">
        <f t="shared" si="4"/>
        <v>0.90422235198335188</v>
      </c>
      <c r="S98" s="248"/>
      <c r="T98" s="122"/>
      <c r="U98" s="123"/>
    </row>
    <row r="99" spans="3:21" ht="15" customHeight="1" x14ac:dyDescent="0.25">
      <c r="C99" s="596" t="s">
        <v>154</v>
      </c>
      <c r="D99" s="49">
        <v>679452.26649999991</v>
      </c>
      <c r="E99" s="245">
        <v>979732.52173799998</v>
      </c>
      <c r="F99" s="246">
        <f t="shared" si="0"/>
        <v>1659184.7882379999</v>
      </c>
      <c r="G99" s="49">
        <v>709042</v>
      </c>
      <c r="H99" s="49">
        <v>1116169</v>
      </c>
      <c r="I99" s="246">
        <f t="shared" si="1"/>
        <v>1825211</v>
      </c>
      <c r="J99" s="247">
        <f t="shared" si="2"/>
        <v>1.1000649312475403</v>
      </c>
      <c r="K99" s="49">
        <v>1515005</v>
      </c>
      <c r="L99" s="49">
        <v>1085491</v>
      </c>
      <c r="M99" s="49">
        <f t="shared" si="3"/>
        <v>2600496</v>
      </c>
      <c r="N99" s="49">
        <v>2229122</v>
      </c>
      <c r="O99" s="49">
        <v>1191698</v>
      </c>
      <c r="P99" s="246">
        <f t="shared" si="5"/>
        <v>3420820</v>
      </c>
      <c r="R99" s="122">
        <f t="shared" si="4"/>
        <v>1.315449052796082</v>
      </c>
      <c r="S99" s="248"/>
      <c r="T99" s="122"/>
      <c r="U99" s="123"/>
    </row>
    <row r="100" spans="3:21" ht="15" customHeight="1" x14ac:dyDescent="0.25">
      <c r="C100" s="596" t="s">
        <v>155</v>
      </c>
      <c r="D100" s="49">
        <v>490919.83199999999</v>
      </c>
      <c r="E100" s="245">
        <v>305440</v>
      </c>
      <c r="F100" s="246">
        <f>D100+E100</f>
        <v>796359.83199999994</v>
      </c>
      <c r="G100" s="49">
        <v>501773</v>
      </c>
      <c r="H100" s="49">
        <v>254381</v>
      </c>
      <c r="I100" s="246">
        <f>G100+H100</f>
        <v>756154</v>
      </c>
      <c r="J100" s="247">
        <f t="shared" si="2"/>
        <v>0.94951298347252655</v>
      </c>
      <c r="K100" s="49">
        <v>2011785</v>
      </c>
      <c r="L100" s="49">
        <v>188489</v>
      </c>
      <c r="M100" s="49">
        <f t="shared" si="3"/>
        <v>2200274</v>
      </c>
      <c r="N100" s="49">
        <v>2096161</v>
      </c>
      <c r="O100" s="49">
        <v>270627</v>
      </c>
      <c r="P100" s="246">
        <f>N100+O100</f>
        <v>2366788</v>
      </c>
      <c r="R100" s="122">
        <f t="shared" si="4"/>
        <v>1.0756787563730699</v>
      </c>
      <c r="S100" s="248"/>
      <c r="T100" s="122"/>
      <c r="U100" s="123"/>
    </row>
    <row r="101" spans="3:21" ht="15" customHeight="1" x14ac:dyDescent="0.25">
      <c r="C101" s="596" t="s">
        <v>156</v>
      </c>
      <c r="D101" s="49">
        <v>751355</v>
      </c>
      <c r="E101" s="245">
        <v>540322</v>
      </c>
      <c r="F101" s="246">
        <f t="shared" si="0"/>
        <v>1291677</v>
      </c>
      <c r="G101" s="49">
        <v>833122.71</v>
      </c>
      <c r="H101" s="49">
        <v>449768</v>
      </c>
      <c r="I101" s="246">
        <f t="shared" si="1"/>
        <v>1282890.71</v>
      </c>
      <c r="J101" s="247">
        <f t="shared" si="2"/>
        <v>0.99319776538561877</v>
      </c>
      <c r="K101" s="49">
        <v>1207189</v>
      </c>
      <c r="L101" s="49">
        <v>552064</v>
      </c>
      <c r="M101" s="49">
        <f t="shared" si="3"/>
        <v>1759253</v>
      </c>
      <c r="N101" s="49">
        <v>1480024</v>
      </c>
      <c r="O101" s="49">
        <v>857904</v>
      </c>
      <c r="P101" s="246">
        <f t="shared" si="5"/>
        <v>2337928</v>
      </c>
      <c r="R101" s="122">
        <f t="shared" si="4"/>
        <v>1.3289322229378038</v>
      </c>
      <c r="S101" s="248"/>
      <c r="T101" s="122"/>
      <c r="U101" s="123"/>
    </row>
    <row r="102" spans="3:21" ht="15" customHeight="1" x14ac:dyDescent="0.25">
      <c r="C102" s="596" t="s">
        <v>157</v>
      </c>
      <c r="D102" s="49">
        <v>359295</v>
      </c>
      <c r="E102" s="245">
        <v>1815345</v>
      </c>
      <c r="F102" s="246">
        <f t="shared" si="0"/>
        <v>2174640</v>
      </c>
      <c r="G102" s="49">
        <v>355184</v>
      </c>
      <c r="H102" s="49">
        <v>1292100</v>
      </c>
      <c r="I102" s="246">
        <f t="shared" si="1"/>
        <v>1647284</v>
      </c>
      <c r="J102" s="247">
        <f t="shared" si="2"/>
        <v>0.75749733289188093</v>
      </c>
      <c r="K102" s="49">
        <v>443946</v>
      </c>
      <c r="L102" s="49">
        <v>2361354</v>
      </c>
      <c r="M102" s="49">
        <f t="shared" si="3"/>
        <v>2805300</v>
      </c>
      <c r="N102" s="49">
        <v>532672</v>
      </c>
      <c r="O102" s="49">
        <v>2161785</v>
      </c>
      <c r="P102" s="246">
        <f t="shared" si="5"/>
        <v>2694457</v>
      </c>
      <c r="R102" s="122">
        <f t="shared" si="4"/>
        <v>0.96048800484796637</v>
      </c>
      <c r="S102" s="248"/>
      <c r="T102" s="122"/>
      <c r="U102" s="123"/>
    </row>
    <row r="103" spans="3:21" ht="15" customHeight="1" x14ac:dyDescent="0.25">
      <c r="C103" s="596" t="s">
        <v>158</v>
      </c>
      <c r="D103" s="49">
        <v>1867043</v>
      </c>
      <c r="E103" s="245">
        <v>2195979</v>
      </c>
      <c r="F103" s="246">
        <f t="shared" si="0"/>
        <v>4063022</v>
      </c>
      <c r="G103" s="49">
        <v>1773965</v>
      </c>
      <c r="H103" s="49">
        <v>1766959</v>
      </c>
      <c r="I103" s="246">
        <f t="shared" si="1"/>
        <v>3540924</v>
      </c>
      <c r="J103" s="247">
        <f t="shared" si="2"/>
        <v>0.87150008048196637</v>
      </c>
      <c r="K103" s="49">
        <v>4722861</v>
      </c>
      <c r="L103" s="49">
        <v>1595892</v>
      </c>
      <c r="M103" s="49">
        <f t="shared" si="3"/>
        <v>6318753</v>
      </c>
      <c r="N103" s="49">
        <v>4431219</v>
      </c>
      <c r="O103" s="49">
        <v>2234250</v>
      </c>
      <c r="P103" s="246">
        <f t="shared" si="5"/>
        <v>6665469</v>
      </c>
      <c r="R103" s="122">
        <f t="shared" si="4"/>
        <v>1.0548709531769955</v>
      </c>
      <c r="S103" s="248"/>
      <c r="T103" s="122"/>
      <c r="U103" s="123"/>
    </row>
    <row r="104" spans="3:21" ht="15" customHeight="1" x14ac:dyDescent="0.25">
      <c r="C104" s="596" t="s">
        <v>159</v>
      </c>
      <c r="D104" s="49">
        <v>587111</v>
      </c>
      <c r="E104" s="245">
        <v>404106.06761000003</v>
      </c>
      <c r="F104" s="246">
        <f>D104+E104</f>
        <v>991217.06761000003</v>
      </c>
      <c r="G104" s="49">
        <v>627237.49</v>
      </c>
      <c r="H104" s="49">
        <v>442866</v>
      </c>
      <c r="I104" s="246">
        <f>G104+H104</f>
        <v>1070103.49</v>
      </c>
      <c r="J104" s="247">
        <f t="shared" si="2"/>
        <v>1.079585415715459</v>
      </c>
      <c r="K104" s="49">
        <v>878681</v>
      </c>
      <c r="L104" s="49">
        <v>1097834</v>
      </c>
      <c r="M104" s="49">
        <f t="shared" si="3"/>
        <v>1976515</v>
      </c>
      <c r="N104" s="49">
        <v>1074974</v>
      </c>
      <c r="O104" s="49">
        <v>746412</v>
      </c>
      <c r="P104" s="246">
        <f>N104+O104</f>
        <v>1821386</v>
      </c>
      <c r="R104" s="122">
        <f t="shared" si="4"/>
        <v>0.92151387669711593</v>
      </c>
      <c r="S104" s="248"/>
      <c r="T104" s="122"/>
      <c r="U104" s="123"/>
    </row>
    <row r="105" spans="3:21" ht="15" customHeight="1" x14ac:dyDescent="0.25">
      <c r="C105" s="596" t="s">
        <v>160</v>
      </c>
      <c r="D105" s="49">
        <v>1034790</v>
      </c>
      <c r="E105" s="245">
        <v>1930723.26</v>
      </c>
      <c r="F105" s="246">
        <f t="shared" si="0"/>
        <v>2965513.26</v>
      </c>
      <c r="G105" s="49">
        <v>1086831.6499999999</v>
      </c>
      <c r="H105" s="49">
        <v>967094</v>
      </c>
      <c r="I105" s="246">
        <f t="shared" si="1"/>
        <v>2053925.65</v>
      </c>
      <c r="J105" s="247">
        <f t="shared" si="2"/>
        <v>0.69260376532593892</v>
      </c>
      <c r="K105" s="49">
        <v>2361650</v>
      </c>
      <c r="L105" s="49">
        <v>2335873</v>
      </c>
      <c r="M105" s="49">
        <f t="shared" si="3"/>
        <v>4697523</v>
      </c>
      <c r="N105" s="49">
        <v>2058103</v>
      </c>
      <c r="O105" s="49">
        <v>2519056</v>
      </c>
      <c r="P105" s="246">
        <f t="shared" si="5"/>
        <v>4577159</v>
      </c>
      <c r="R105" s="122">
        <f t="shared" si="4"/>
        <v>0.97437713450258789</v>
      </c>
      <c r="S105" s="248"/>
      <c r="T105" s="122"/>
      <c r="U105" s="123"/>
    </row>
    <row r="106" spans="3:21" ht="15" customHeight="1" x14ac:dyDescent="0.25">
      <c r="C106" s="596" t="s">
        <v>161</v>
      </c>
      <c r="D106" s="49">
        <v>3445369.4415000002</v>
      </c>
      <c r="E106" s="245">
        <v>7876143</v>
      </c>
      <c r="F106" s="246">
        <f t="shared" si="0"/>
        <v>11321512.441500001</v>
      </c>
      <c r="G106" s="49">
        <v>3855604</v>
      </c>
      <c r="H106" s="49">
        <v>8804594</v>
      </c>
      <c r="I106" s="246">
        <f t="shared" si="1"/>
        <v>12660198</v>
      </c>
      <c r="J106" s="247">
        <f t="shared" si="2"/>
        <v>1.1182426434115755</v>
      </c>
      <c r="K106" s="49">
        <v>4200863</v>
      </c>
      <c r="L106" s="49">
        <v>11809025</v>
      </c>
      <c r="M106" s="49">
        <f t="shared" si="3"/>
        <v>16009888</v>
      </c>
      <c r="N106" s="49">
        <v>4902160</v>
      </c>
      <c r="O106" s="49">
        <v>11312920</v>
      </c>
      <c r="P106" s="246">
        <f t="shared" si="5"/>
        <v>16215080</v>
      </c>
      <c r="R106" s="122">
        <f t="shared" si="4"/>
        <v>1.0128165793539592</v>
      </c>
      <c r="S106" s="248"/>
      <c r="T106" s="122"/>
      <c r="U106" s="123"/>
    </row>
    <row r="107" spans="3:21" ht="15" customHeight="1" x14ac:dyDescent="0.25">
      <c r="C107" s="596" t="s">
        <v>162</v>
      </c>
      <c r="D107" s="49">
        <v>1263023</v>
      </c>
      <c r="E107" s="245">
        <v>1192004</v>
      </c>
      <c r="F107" s="246">
        <f t="shared" si="0"/>
        <v>2455027</v>
      </c>
      <c r="G107" s="49">
        <v>1110492</v>
      </c>
      <c r="H107" s="49">
        <v>1122164</v>
      </c>
      <c r="I107" s="246">
        <f t="shared" si="1"/>
        <v>2232656</v>
      </c>
      <c r="J107" s="247">
        <f t="shared" si="2"/>
        <v>0.90942217743430109</v>
      </c>
      <c r="K107" s="49">
        <v>2916876</v>
      </c>
      <c r="L107" s="49">
        <v>1649032</v>
      </c>
      <c r="M107" s="49">
        <f t="shared" si="3"/>
        <v>4565908</v>
      </c>
      <c r="N107" s="49">
        <v>2588653</v>
      </c>
      <c r="O107" s="49">
        <v>1751273</v>
      </c>
      <c r="P107" s="246">
        <f t="shared" si="5"/>
        <v>4339926</v>
      </c>
      <c r="R107" s="122">
        <f t="shared" si="4"/>
        <v>0.95050666811508244</v>
      </c>
      <c r="S107" s="248"/>
      <c r="T107" s="122"/>
      <c r="U107" s="123"/>
    </row>
    <row r="108" spans="3:21" ht="15" customHeight="1" x14ac:dyDescent="0.25">
      <c r="C108" s="596" t="s">
        <v>163</v>
      </c>
      <c r="D108" s="49">
        <v>38607672.27335</v>
      </c>
      <c r="E108" s="245">
        <v>102423063.05140001</v>
      </c>
      <c r="F108" s="246">
        <f>D108+E108</f>
        <v>141030735.32475001</v>
      </c>
      <c r="G108" s="49">
        <v>38794615</v>
      </c>
      <c r="H108" s="49">
        <v>103320484</v>
      </c>
      <c r="I108" s="246">
        <f>G108+H108</f>
        <v>142115099</v>
      </c>
      <c r="J108" s="247">
        <f t="shared" si="2"/>
        <v>1.0076888464968508</v>
      </c>
      <c r="K108" s="49">
        <v>54817026</v>
      </c>
      <c r="L108" s="49">
        <v>285002518</v>
      </c>
      <c r="M108" s="49">
        <f t="shared" si="3"/>
        <v>339819544</v>
      </c>
      <c r="N108" s="553">
        <v>68254405</v>
      </c>
      <c r="O108" s="49">
        <v>181485941</v>
      </c>
      <c r="P108" s="246">
        <f>N108+O108</f>
        <v>249740346</v>
      </c>
      <c r="R108" s="122">
        <f t="shared" si="4"/>
        <v>0.73492049062369413</v>
      </c>
      <c r="S108" s="248"/>
      <c r="T108" s="122"/>
      <c r="U108" s="123"/>
    </row>
    <row r="109" spans="3:21" ht="15" customHeight="1" x14ac:dyDescent="0.25">
      <c r="C109" s="596" t="s">
        <v>164</v>
      </c>
      <c r="D109" s="49">
        <v>1053724</v>
      </c>
      <c r="E109" s="245">
        <v>1760700</v>
      </c>
      <c r="F109" s="246">
        <f t="shared" si="0"/>
        <v>2814424</v>
      </c>
      <c r="G109" s="49">
        <v>974443</v>
      </c>
      <c r="H109" s="49">
        <v>1955033</v>
      </c>
      <c r="I109" s="246">
        <f t="shared" si="1"/>
        <v>2929476</v>
      </c>
      <c r="J109" s="247">
        <f t="shared" si="2"/>
        <v>1.0408794126258161</v>
      </c>
      <c r="K109" s="49">
        <v>824105</v>
      </c>
      <c r="L109" s="49">
        <v>1076489</v>
      </c>
      <c r="M109" s="49">
        <f t="shared" si="3"/>
        <v>1900594</v>
      </c>
      <c r="N109" s="49">
        <v>1341794</v>
      </c>
      <c r="O109" s="49">
        <v>1265479</v>
      </c>
      <c r="P109" s="246">
        <f t="shared" si="5"/>
        <v>2607273</v>
      </c>
      <c r="R109" s="122">
        <f t="shared" si="4"/>
        <v>1.3718200730929384</v>
      </c>
      <c r="S109" s="248"/>
      <c r="T109" s="122"/>
      <c r="U109" s="123"/>
    </row>
    <row r="110" spans="3:21" ht="15" customHeight="1" x14ac:dyDescent="0.25">
      <c r="C110" s="596" t="s">
        <v>165</v>
      </c>
      <c r="D110" s="49">
        <v>4668675</v>
      </c>
      <c r="E110" s="245">
        <v>9408641</v>
      </c>
      <c r="F110" s="246">
        <f t="shared" si="0"/>
        <v>14077316</v>
      </c>
      <c r="G110" s="49">
        <v>5684224</v>
      </c>
      <c r="H110" s="49">
        <v>11342255</v>
      </c>
      <c r="I110" s="246">
        <f t="shared" si="1"/>
        <v>17026479</v>
      </c>
      <c r="J110" s="247">
        <f t="shared" si="2"/>
        <v>1.2094975348994084</v>
      </c>
      <c r="K110" s="49">
        <v>8125909</v>
      </c>
      <c r="L110" s="49">
        <v>17789868</v>
      </c>
      <c r="M110" s="49">
        <f t="shared" si="3"/>
        <v>25915777</v>
      </c>
      <c r="N110" s="49">
        <v>10345095</v>
      </c>
      <c r="O110" s="49">
        <v>27454438</v>
      </c>
      <c r="P110" s="246">
        <f t="shared" si="5"/>
        <v>37799533</v>
      </c>
      <c r="R110" s="122">
        <f t="shared" si="4"/>
        <v>1.4585529501970942</v>
      </c>
      <c r="S110" s="248"/>
      <c r="T110" s="122"/>
      <c r="U110" s="123"/>
    </row>
    <row r="111" spans="3:21" ht="15" customHeight="1" x14ac:dyDescent="0.25">
      <c r="C111" s="146" t="s">
        <v>65</v>
      </c>
      <c r="D111" s="246">
        <f>SUM(D91:D110)</f>
        <v>153300456.81334999</v>
      </c>
      <c r="E111" s="246">
        <f>SUM(E91:E110)</f>
        <v>207197226.85267049</v>
      </c>
      <c r="F111" s="246">
        <f t="shared" si="0"/>
        <v>360497683.66602051</v>
      </c>
      <c r="G111" s="246">
        <f>SUM(G91:G110)</f>
        <v>156432701.25999999</v>
      </c>
      <c r="H111" s="246">
        <f>SUM(H91:H110)</f>
        <v>227469651</v>
      </c>
      <c r="I111" s="246">
        <f t="shared" si="1"/>
        <v>383902352.25999999</v>
      </c>
      <c r="J111" s="247"/>
      <c r="K111" s="246">
        <f t="shared" ref="K111:P111" si="6">SUM(K91:K110)</f>
        <v>271008615</v>
      </c>
      <c r="L111" s="246">
        <f t="shared" si="6"/>
        <v>464758438</v>
      </c>
      <c r="M111" s="246">
        <f t="shared" si="6"/>
        <v>735767053</v>
      </c>
      <c r="N111" s="246">
        <f t="shared" si="6"/>
        <v>301861417</v>
      </c>
      <c r="O111" s="246">
        <f t="shared" si="6"/>
        <v>385268997</v>
      </c>
      <c r="P111" s="249">
        <f t="shared" si="6"/>
        <v>687130414</v>
      </c>
      <c r="R111" s="122">
        <f>SUM(R91:R110)</f>
        <v>24.639147512078722</v>
      </c>
      <c r="S111" s="250"/>
      <c r="T111" s="122"/>
      <c r="U111" s="123"/>
    </row>
    <row r="112" spans="3:21" ht="15" customHeight="1" x14ac:dyDescent="0.25">
      <c r="R112" s="123"/>
      <c r="S112" s="123"/>
      <c r="T112" s="123"/>
      <c r="U112" s="123"/>
    </row>
    <row r="113" spans="14:21" ht="15" customHeight="1" x14ac:dyDescent="0.25">
      <c r="R113" s="123"/>
      <c r="S113" s="123"/>
      <c r="T113" s="123"/>
      <c r="U113" s="123"/>
    </row>
    <row r="114" spans="14:21" x14ac:dyDescent="0.25">
      <c r="R114" s="123"/>
      <c r="S114" s="123"/>
      <c r="T114" s="123"/>
      <c r="U114" s="123"/>
    </row>
    <row r="115" spans="14:21" x14ac:dyDescent="0.25">
      <c r="O115" s="213"/>
      <c r="R115" s="123"/>
      <c r="S115" s="123"/>
      <c r="T115" s="123"/>
      <c r="U115" s="123"/>
    </row>
    <row r="116" spans="14:21" x14ac:dyDescent="0.25">
      <c r="N116">
        <v>301861417</v>
      </c>
      <c r="R116" s="123"/>
      <c r="S116" s="123"/>
      <c r="T116" s="123"/>
      <c r="U116" s="123"/>
    </row>
    <row r="117" spans="14:21" x14ac:dyDescent="0.25">
      <c r="N117" s="213">
        <f>N116-N111</f>
        <v>0</v>
      </c>
      <c r="R117" s="123"/>
      <c r="S117" s="123"/>
      <c r="T117" s="123"/>
      <c r="U117" s="123"/>
    </row>
  </sheetData>
  <mergeCells count="81">
    <mergeCell ref="C79:H79"/>
    <mergeCell ref="I79:K79"/>
    <mergeCell ref="C76:H76"/>
    <mergeCell ref="I76:K76"/>
    <mergeCell ref="C77:H77"/>
    <mergeCell ref="I77:K77"/>
    <mergeCell ref="C78:H78"/>
    <mergeCell ref="C73:H73"/>
    <mergeCell ref="I73:K73"/>
    <mergeCell ref="C74:H74"/>
    <mergeCell ref="I74:K74"/>
    <mergeCell ref="C75:H75"/>
    <mergeCell ref="I75:K75"/>
    <mergeCell ref="C10:H10"/>
    <mergeCell ref="I10:K10"/>
    <mergeCell ref="C4:K4"/>
    <mergeCell ref="B5:K5"/>
    <mergeCell ref="B6:H6"/>
    <mergeCell ref="C8:H8"/>
    <mergeCell ref="C9:H9"/>
    <mergeCell ref="C18:H18"/>
    <mergeCell ref="C19:H19"/>
    <mergeCell ref="I19:K19"/>
    <mergeCell ref="C12:H12"/>
    <mergeCell ref="I12:K12"/>
    <mergeCell ref="C13:H13"/>
    <mergeCell ref="I13:K13"/>
    <mergeCell ref="C14:H14"/>
    <mergeCell ref="I14:K14"/>
    <mergeCell ref="C15:H15"/>
    <mergeCell ref="I15:K15"/>
    <mergeCell ref="C16:H16"/>
    <mergeCell ref="I16:K16"/>
    <mergeCell ref="C17:H17"/>
    <mergeCell ref="I17:K17"/>
    <mergeCell ref="C20:H20"/>
    <mergeCell ref="I20:K20"/>
    <mergeCell ref="C30:H30"/>
    <mergeCell ref="C31:H31"/>
    <mergeCell ref="C33:H33"/>
    <mergeCell ref="C26:H26"/>
    <mergeCell ref="C29:H29"/>
    <mergeCell ref="C21:H21"/>
    <mergeCell ref="I21:K21"/>
    <mergeCell ref="C22:H22"/>
    <mergeCell ref="C23:H23"/>
    <mergeCell ref="C25:H25"/>
    <mergeCell ref="C34:H34"/>
    <mergeCell ref="C35:H35"/>
    <mergeCell ref="I38:K38"/>
    <mergeCell ref="C39:H39"/>
    <mergeCell ref="C40:H40"/>
    <mergeCell ref="C43:H43"/>
    <mergeCell ref="C38:H38"/>
    <mergeCell ref="C60:H60"/>
    <mergeCell ref="C44:H44"/>
    <mergeCell ref="C45:H45"/>
    <mergeCell ref="C48:H48"/>
    <mergeCell ref="C49:H49"/>
    <mergeCell ref="C50:H50"/>
    <mergeCell ref="C53:H53"/>
    <mergeCell ref="C54:H54"/>
    <mergeCell ref="C55:H55"/>
    <mergeCell ref="C58:H58"/>
    <mergeCell ref="C59:H59"/>
    <mergeCell ref="N89:P89"/>
    <mergeCell ref="R89:R90"/>
    <mergeCell ref="C63:H63"/>
    <mergeCell ref="C64:H64"/>
    <mergeCell ref="C65:H65"/>
    <mergeCell ref="C67:H67"/>
    <mergeCell ref="I67:K67"/>
    <mergeCell ref="C89:C90"/>
    <mergeCell ref="D89:F89"/>
    <mergeCell ref="G89:I89"/>
    <mergeCell ref="K89:M89"/>
    <mergeCell ref="B68:K68"/>
    <mergeCell ref="C69:H69"/>
    <mergeCell ref="C70:H70"/>
    <mergeCell ref="C72:H72"/>
    <mergeCell ref="I72:K72"/>
  </mergeCells>
  <pageMargins left="0" right="0.11811023622047245" top="0.41" bottom="0.74803149606299213" header="0.31496062992125984" footer="0.31496062992125984"/>
  <pageSetup scale="6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B1:D34"/>
  <sheetViews>
    <sheetView zoomScale="90" zoomScaleNormal="90" workbookViewId="0">
      <selection activeCell="B3" sqref="B3:C3"/>
    </sheetView>
  </sheetViews>
  <sheetFormatPr baseColWidth="10" defaultRowHeight="15" x14ac:dyDescent="0.25"/>
  <cols>
    <col min="1" max="1" width="3.5703125" customWidth="1"/>
    <col min="2" max="2" width="29" customWidth="1"/>
    <col min="3" max="3" width="30.5703125" customWidth="1"/>
  </cols>
  <sheetData>
    <row r="1" spans="2:4" x14ac:dyDescent="0.25">
      <c r="B1" s="1076"/>
      <c r="C1" s="1076"/>
    </row>
    <row r="2" spans="2:4" x14ac:dyDescent="0.25">
      <c r="B2" s="8"/>
      <c r="C2" s="8"/>
    </row>
    <row r="3" spans="2:4" x14ac:dyDescent="0.25">
      <c r="B3" s="980" t="s">
        <v>369</v>
      </c>
      <c r="C3" s="980"/>
    </row>
    <row r="4" spans="2:4" x14ac:dyDescent="0.25">
      <c r="B4" s="980"/>
      <c r="C4" s="980"/>
    </row>
    <row r="5" spans="2:4" ht="15.75" thickBot="1" x14ac:dyDescent="0.3">
      <c r="B5" s="12"/>
      <c r="C5" s="12"/>
    </row>
    <row r="6" spans="2:4" ht="15" customHeight="1" x14ac:dyDescent="0.25">
      <c r="B6" s="986" t="s">
        <v>83</v>
      </c>
      <c r="C6" s="1128" t="s">
        <v>368</v>
      </c>
    </row>
    <row r="7" spans="2:4" x14ac:dyDescent="0.25">
      <c r="B7" s="987"/>
      <c r="C7" s="1227"/>
    </row>
    <row r="8" spans="2:4" x14ac:dyDescent="0.25">
      <c r="B8" s="987"/>
      <c r="C8" s="1227"/>
    </row>
    <row r="9" spans="2:4" ht="15.75" thickBot="1" x14ac:dyDescent="0.3">
      <c r="B9" s="988"/>
      <c r="C9" s="1228"/>
    </row>
    <row r="10" spans="2:4" ht="24" customHeight="1" x14ac:dyDescent="0.25">
      <c r="B10" s="151" t="s">
        <v>45</v>
      </c>
      <c r="C10" s="459">
        <v>37232</v>
      </c>
      <c r="D10" s="78"/>
    </row>
    <row r="11" spans="2:4" ht="24" customHeight="1" x14ac:dyDescent="0.25">
      <c r="B11" s="151" t="s">
        <v>46</v>
      </c>
      <c r="C11" s="460">
        <v>15393</v>
      </c>
      <c r="D11" s="78"/>
    </row>
    <row r="12" spans="2:4" ht="24" customHeight="1" x14ac:dyDescent="0.25">
      <c r="B12" s="151" t="s">
        <v>47</v>
      </c>
      <c r="C12" s="447">
        <v>11536</v>
      </c>
      <c r="D12" s="78"/>
    </row>
    <row r="13" spans="2:4" ht="24" customHeight="1" x14ac:dyDescent="0.25">
      <c r="B13" s="151" t="s">
        <v>48</v>
      </c>
      <c r="C13" s="447">
        <v>187632</v>
      </c>
      <c r="D13" s="78"/>
    </row>
    <row r="14" spans="2:4" ht="24" customHeight="1" x14ac:dyDescent="0.25">
      <c r="B14" s="151" t="s">
        <v>49</v>
      </c>
      <c r="C14" s="447">
        <v>77436</v>
      </c>
      <c r="D14" s="78"/>
    </row>
    <row r="15" spans="2:4" ht="24" customHeight="1" x14ac:dyDescent="0.25">
      <c r="B15" s="151" t="s">
        <v>50</v>
      </c>
      <c r="C15" s="447">
        <v>47550</v>
      </c>
      <c r="D15" s="78"/>
    </row>
    <row r="16" spans="2:4" ht="24" customHeight="1" x14ac:dyDescent="0.25">
      <c r="B16" s="151" t="s">
        <v>51</v>
      </c>
      <c r="C16" s="447">
        <v>12230</v>
      </c>
      <c r="D16" s="78"/>
    </row>
    <row r="17" spans="2:4" ht="24" customHeight="1" x14ac:dyDescent="0.25">
      <c r="B17" s="151" t="s">
        <v>52</v>
      </c>
      <c r="C17" s="447">
        <v>29299</v>
      </c>
      <c r="D17" s="78"/>
    </row>
    <row r="18" spans="2:4" ht="24" customHeight="1" x14ac:dyDescent="0.25">
      <c r="B18" s="151" t="s">
        <v>53</v>
      </c>
      <c r="C18" s="447">
        <v>19321</v>
      </c>
      <c r="D18" s="78"/>
    </row>
    <row r="19" spans="2:4" ht="24" customHeight="1" x14ac:dyDescent="0.25">
      <c r="B19" s="151" t="s">
        <v>54</v>
      </c>
      <c r="C19" s="447">
        <v>13719</v>
      </c>
      <c r="D19" s="78"/>
    </row>
    <row r="20" spans="2:4" ht="24" customHeight="1" x14ac:dyDescent="0.25">
      <c r="B20" s="151" t="s">
        <v>55</v>
      </c>
      <c r="C20" s="447">
        <v>33567</v>
      </c>
      <c r="D20" s="78"/>
    </row>
    <row r="21" spans="2:4" ht="24" customHeight="1" x14ac:dyDescent="0.25">
      <c r="B21" s="151" t="s">
        <v>56</v>
      </c>
      <c r="C21" s="447">
        <v>24096</v>
      </c>
      <c r="D21" s="78"/>
    </row>
    <row r="22" spans="2:4" ht="24" customHeight="1" x14ac:dyDescent="0.25">
      <c r="B22" s="151" t="s">
        <v>57</v>
      </c>
      <c r="C22" s="447">
        <v>41518</v>
      </c>
      <c r="D22" s="78"/>
    </row>
    <row r="23" spans="2:4" ht="24" customHeight="1" x14ac:dyDescent="0.25">
      <c r="B23" s="151" t="s">
        <v>58</v>
      </c>
      <c r="C23" s="447">
        <v>7683</v>
      </c>
      <c r="D23" s="78"/>
    </row>
    <row r="24" spans="2:4" ht="24" customHeight="1" x14ac:dyDescent="0.25">
      <c r="B24" s="151" t="s">
        <v>59</v>
      </c>
      <c r="C24" s="447">
        <v>24911</v>
      </c>
      <c r="D24" s="78"/>
    </row>
    <row r="25" spans="2:4" ht="24" customHeight="1" x14ac:dyDescent="0.25">
      <c r="B25" s="151" t="s">
        <v>60</v>
      </c>
      <c r="C25" s="447">
        <v>93981</v>
      </c>
      <c r="D25" s="78"/>
    </row>
    <row r="26" spans="2:4" ht="24" customHeight="1" x14ac:dyDescent="0.25">
      <c r="B26" s="151" t="s">
        <v>61</v>
      </c>
      <c r="C26" s="447">
        <v>37135</v>
      </c>
      <c r="D26" s="78"/>
    </row>
    <row r="27" spans="2:4" ht="24" customHeight="1" x14ac:dyDescent="0.25">
      <c r="B27" s="151" t="s">
        <v>62</v>
      </c>
      <c r="C27" s="447">
        <v>425924</v>
      </c>
      <c r="D27" s="78"/>
    </row>
    <row r="28" spans="2:4" ht="24" customHeight="1" x14ac:dyDescent="0.25">
      <c r="B28" s="151" t="s">
        <v>63</v>
      </c>
      <c r="C28" s="447">
        <v>30064</v>
      </c>
      <c r="D28" s="78"/>
    </row>
    <row r="29" spans="2:4" ht="24" customHeight="1" thickBot="1" x14ac:dyDescent="0.3">
      <c r="B29" s="151" t="s">
        <v>64</v>
      </c>
      <c r="C29" s="447">
        <v>65229</v>
      </c>
      <c r="D29" s="78"/>
    </row>
    <row r="30" spans="2:4" ht="24" customHeight="1" thickBot="1" x14ac:dyDescent="0.3">
      <c r="B30" s="153" t="s">
        <v>65</v>
      </c>
      <c r="C30" s="461">
        <f>SUM(C10:C29)</f>
        <v>1235456</v>
      </c>
    </row>
    <row r="31" spans="2:4" x14ac:dyDescent="0.25">
      <c r="B31" s="8"/>
      <c r="C31" s="8"/>
    </row>
    <row r="32" spans="2:4" x14ac:dyDescent="0.25">
      <c r="B32" s="8" t="s">
        <v>169</v>
      </c>
      <c r="C32" s="8"/>
    </row>
    <row r="33" spans="2:3" x14ac:dyDescent="0.25">
      <c r="B33" s="1226" t="s">
        <v>370</v>
      </c>
      <c r="C33" s="1226"/>
    </row>
    <row r="34" spans="2:3" x14ac:dyDescent="0.25">
      <c r="B34" s="1226"/>
      <c r="C34" s="1226"/>
    </row>
  </sheetData>
  <mergeCells count="6">
    <mergeCell ref="B1:C1"/>
    <mergeCell ref="B33:C34"/>
    <mergeCell ref="B3:C3"/>
    <mergeCell ref="B4:C4"/>
    <mergeCell ref="B6:B9"/>
    <mergeCell ref="C6:C9"/>
  </mergeCells>
  <printOptions horizontalCentered="1"/>
  <pageMargins left="0.70866141732283472" right="0.70866141732283472" top="0.74803149606299213" bottom="0.74803149606299213" header="0.31496062992125984" footer="0.31496062992125984"/>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H32"/>
  <sheetViews>
    <sheetView workbookViewId="0">
      <selection activeCell="A3" sqref="A3:G3"/>
    </sheetView>
  </sheetViews>
  <sheetFormatPr baseColWidth="10" defaultRowHeight="15" x14ac:dyDescent="0.25"/>
  <cols>
    <col min="1" max="1" width="22.85546875" bestFit="1" customWidth="1"/>
    <col min="2" max="7" width="17" bestFit="1" customWidth="1"/>
  </cols>
  <sheetData>
    <row r="1" spans="1:8" x14ac:dyDescent="0.25">
      <c r="A1" s="1076"/>
      <c r="B1" s="1076"/>
      <c r="C1" s="1076"/>
      <c r="D1" s="1076"/>
      <c r="E1" s="1076"/>
      <c r="F1" s="1076"/>
      <c r="G1" s="1076"/>
    </row>
    <row r="2" spans="1:8" x14ac:dyDescent="0.25">
      <c r="A2" s="104"/>
      <c r="B2" s="104"/>
      <c r="C2" s="104"/>
      <c r="D2" s="104"/>
      <c r="E2" s="104"/>
      <c r="F2" s="104"/>
      <c r="G2" s="104"/>
    </row>
    <row r="3" spans="1:8" x14ac:dyDescent="0.25">
      <c r="A3" s="1076" t="s">
        <v>267</v>
      </c>
      <c r="B3" s="1076"/>
      <c r="C3" s="1076"/>
      <c r="D3" s="1076"/>
      <c r="E3" s="1076"/>
      <c r="F3" s="1076"/>
      <c r="G3" s="1076"/>
    </row>
    <row r="4" spans="1:8" x14ac:dyDescent="0.25">
      <c r="A4" s="104"/>
      <c r="B4" s="104"/>
      <c r="C4" s="104"/>
      <c r="D4" s="104"/>
      <c r="E4" s="104"/>
      <c r="F4" s="104"/>
      <c r="G4" s="104"/>
    </row>
    <row r="5" spans="1:8" x14ac:dyDescent="0.25">
      <c r="A5" s="1076" t="s">
        <v>268</v>
      </c>
      <c r="B5" s="1076"/>
      <c r="C5" s="1076"/>
      <c r="D5" s="1076"/>
      <c r="E5" s="1076"/>
      <c r="F5" s="1076"/>
      <c r="G5" s="1076"/>
    </row>
    <row r="6" spans="1:8" ht="15.75" thickBot="1" x14ac:dyDescent="0.3"/>
    <row r="7" spans="1:8" x14ac:dyDescent="0.25">
      <c r="A7" s="1229" t="s">
        <v>234</v>
      </c>
      <c r="B7" s="1231">
        <v>2019</v>
      </c>
      <c r="C7" s="1232"/>
      <c r="D7" s="1233"/>
      <c r="E7" s="1231">
        <v>2020</v>
      </c>
      <c r="F7" s="1232"/>
      <c r="G7" s="1234"/>
      <c r="H7" s="212"/>
    </row>
    <row r="8" spans="1:8" ht="15.75" thickBot="1" x14ac:dyDescent="0.3">
      <c r="A8" s="1230"/>
      <c r="B8" s="191" t="s">
        <v>261</v>
      </c>
      <c r="C8" s="187" t="s">
        <v>269</v>
      </c>
      <c r="D8" s="187" t="s">
        <v>82</v>
      </c>
      <c r="E8" s="191" t="s">
        <v>261</v>
      </c>
      <c r="F8" s="187" t="s">
        <v>269</v>
      </c>
      <c r="G8" s="458" t="s">
        <v>82</v>
      </c>
      <c r="H8" s="148"/>
    </row>
    <row r="9" spans="1:8" x14ac:dyDescent="0.25">
      <c r="A9" s="448" t="s">
        <v>146</v>
      </c>
      <c r="B9" s="450">
        <v>3943293</v>
      </c>
      <c r="C9" s="450">
        <v>7394639</v>
      </c>
      <c r="D9" s="451">
        <f t="shared" ref="D9:D28" si="0">B9+C9</f>
        <v>11337932</v>
      </c>
      <c r="E9" s="452">
        <v>3500020</v>
      </c>
      <c r="F9" s="450">
        <v>6941612</v>
      </c>
      <c r="G9" s="451">
        <f t="shared" ref="G9:G28" si="1">E9+F9</f>
        <v>10441632</v>
      </c>
    </row>
    <row r="10" spans="1:8" x14ac:dyDescent="0.25">
      <c r="A10" s="453" t="s">
        <v>147</v>
      </c>
      <c r="B10" s="171">
        <v>2484812</v>
      </c>
      <c r="C10" s="171">
        <v>1991745</v>
      </c>
      <c r="D10" s="455">
        <f t="shared" si="0"/>
        <v>4476557</v>
      </c>
      <c r="E10" s="456">
        <v>2231357</v>
      </c>
      <c r="F10" s="171">
        <v>2601257</v>
      </c>
      <c r="G10" s="455">
        <f t="shared" si="1"/>
        <v>4832614</v>
      </c>
    </row>
    <row r="11" spans="1:8" x14ac:dyDescent="0.25">
      <c r="A11" s="453" t="s">
        <v>148</v>
      </c>
      <c r="B11" s="171">
        <v>1759056</v>
      </c>
      <c r="C11" s="171">
        <v>1291053</v>
      </c>
      <c r="D11" s="455">
        <f t="shared" si="0"/>
        <v>3050109</v>
      </c>
      <c r="E11" s="456">
        <v>1912426</v>
      </c>
      <c r="F11" s="171">
        <v>1459326</v>
      </c>
      <c r="G11" s="455">
        <f t="shared" si="1"/>
        <v>3371752</v>
      </c>
    </row>
    <row r="12" spans="1:8" x14ac:dyDescent="0.25">
      <c r="A12" s="453" t="s">
        <v>149</v>
      </c>
      <c r="B12" s="171">
        <v>189694088</v>
      </c>
      <c r="C12" s="171">
        <v>133955173</v>
      </c>
      <c r="D12" s="455">
        <f t="shared" si="0"/>
        <v>323649261</v>
      </c>
      <c r="E12" s="456">
        <v>169582223</v>
      </c>
      <c r="F12" s="171">
        <v>131052008</v>
      </c>
      <c r="G12" s="455">
        <f t="shared" si="1"/>
        <v>300634231</v>
      </c>
    </row>
    <row r="13" spans="1:8" x14ac:dyDescent="0.25">
      <c r="A13" s="453" t="s">
        <v>150</v>
      </c>
      <c r="B13" s="171">
        <v>49961238</v>
      </c>
      <c r="C13" s="171">
        <v>10048917</v>
      </c>
      <c r="D13" s="455">
        <f t="shared" si="0"/>
        <v>60010155</v>
      </c>
      <c r="E13" s="456">
        <v>21796786</v>
      </c>
      <c r="F13" s="171">
        <v>11480958</v>
      </c>
      <c r="G13" s="455">
        <f t="shared" si="1"/>
        <v>33277744</v>
      </c>
    </row>
    <row r="14" spans="1:8" x14ac:dyDescent="0.25">
      <c r="A14" s="453" t="s">
        <v>151</v>
      </c>
      <c r="B14" s="171">
        <v>38654</v>
      </c>
      <c r="C14" s="171">
        <v>55623</v>
      </c>
      <c r="D14" s="455">
        <f t="shared" si="0"/>
        <v>94277</v>
      </c>
      <c r="E14" s="456">
        <v>20358</v>
      </c>
      <c r="F14" s="171">
        <v>99556</v>
      </c>
      <c r="G14" s="455">
        <f t="shared" si="1"/>
        <v>119914</v>
      </c>
    </row>
    <row r="15" spans="1:8" x14ac:dyDescent="0.25">
      <c r="A15" s="453" t="s">
        <v>152</v>
      </c>
      <c r="B15" s="171">
        <v>12474</v>
      </c>
      <c r="C15" s="171">
        <v>87109</v>
      </c>
      <c r="D15" s="455">
        <f t="shared" si="0"/>
        <v>99583</v>
      </c>
      <c r="E15" s="456">
        <v>17488</v>
      </c>
      <c r="F15" s="171">
        <v>107214</v>
      </c>
      <c r="G15" s="455">
        <f t="shared" si="1"/>
        <v>124702</v>
      </c>
    </row>
    <row r="16" spans="1:8" x14ac:dyDescent="0.25">
      <c r="A16" s="453" t="s">
        <v>153</v>
      </c>
      <c r="B16" s="171">
        <v>4907652</v>
      </c>
      <c r="C16" s="171">
        <v>6976073</v>
      </c>
      <c r="D16" s="455">
        <f t="shared" si="0"/>
        <v>11883725</v>
      </c>
      <c r="E16" s="456">
        <v>5542908</v>
      </c>
      <c r="F16" s="171">
        <v>7301470</v>
      </c>
      <c r="G16" s="455">
        <f t="shared" si="1"/>
        <v>12844378</v>
      </c>
    </row>
    <row r="17" spans="1:8" x14ac:dyDescent="0.25">
      <c r="A17" s="453" t="s">
        <v>154</v>
      </c>
      <c r="B17" s="171">
        <v>1978012</v>
      </c>
      <c r="C17" s="171">
        <v>2312820</v>
      </c>
      <c r="D17" s="455">
        <f t="shared" si="0"/>
        <v>4290832</v>
      </c>
      <c r="E17" s="456">
        <v>1764752</v>
      </c>
      <c r="F17" s="171">
        <v>2015966</v>
      </c>
      <c r="G17" s="455">
        <f t="shared" si="1"/>
        <v>3780718</v>
      </c>
    </row>
    <row r="18" spans="1:8" x14ac:dyDescent="0.25">
      <c r="A18" s="453" t="s">
        <v>155</v>
      </c>
      <c r="B18" s="171">
        <v>246157</v>
      </c>
      <c r="C18" s="171">
        <v>314911</v>
      </c>
      <c r="D18" s="455">
        <f t="shared" si="0"/>
        <v>561068</v>
      </c>
      <c r="E18" s="456">
        <v>318086</v>
      </c>
      <c r="F18" s="171">
        <v>374410</v>
      </c>
      <c r="G18" s="455">
        <f t="shared" si="1"/>
        <v>692496</v>
      </c>
    </row>
    <row r="19" spans="1:8" x14ac:dyDescent="0.25">
      <c r="A19" s="453" t="s">
        <v>156</v>
      </c>
      <c r="B19" s="171">
        <v>1605974</v>
      </c>
      <c r="C19" s="171">
        <v>916058</v>
      </c>
      <c r="D19" s="455">
        <f t="shared" si="0"/>
        <v>2522032</v>
      </c>
      <c r="E19" s="456">
        <v>1417918</v>
      </c>
      <c r="F19" s="171">
        <v>980270</v>
      </c>
      <c r="G19" s="455">
        <f t="shared" si="1"/>
        <v>2398188</v>
      </c>
    </row>
    <row r="20" spans="1:8" x14ac:dyDescent="0.25">
      <c r="A20" s="453" t="s">
        <v>157</v>
      </c>
      <c r="B20" s="171">
        <v>633445</v>
      </c>
      <c r="C20" s="171">
        <v>2790108</v>
      </c>
      <c r="D20" s="455">
        <f t="shared" si="0"/>
        <v>3423553</v>
      </c>
      <c r="E20" s="456">
        <v>626941</v>
      </c>
      <c r="F20" s="171">
        <v>2735104</v>
      </c>
      <c r="G20" s="455">
        <f t="shared" si="1"/>
        <v>3362045</v>
      </c>
    </row>
    <row r="21" spans="1:8" x14ac:dyDescent="0.25">
      <c r="A21" s="453" t="s">
        <v>158</v>
      </c>
      <c r="B21" s="171">
        <v>3131776</v>
      </c>
      <c r="C21" s="171">
        <v>2077630</v>
      </c>
      <c r="D21" s="455">
        <f t="shared" si="0"/>
        <v>5209406</v>
      </c>
      <c r="E21" s="456">
        <v>1675643</v>
      </c>
      <c r="F21" s="171">
        <v>3365029</v>
      </c>
      <c r="G21" s="455">
        <f t="shared" si="1"/>
        <v>5040672</v>
      </c>
    </row>
    <row r="22" spans="1:8" x14ac:dyDescent="0.25">
      <c r="A22" s="453" t="s">
        <v>159</v>
      </c>
      <c r="B22" s="171">
        <v>974991</v>
      </c>
      <c r="C22" s="171">
        <v>1113293</v>
      </c>
      <c r="D22" s="455">
        <f t="shared" si="0"/>
        <v>2088284</v>
      </c>
      <c r="E22" s="456">
        <v>876244</v>
      </c>
      <c r="F22" s="171">
        <v>971948</v>
      </c>
      <c r="G22" s="455">
        <f t="shared" si="1"/>
        <v>1848192</v>
      </c>
    </row>
    <row r="23" spans="1:8" x14ac:dyDescent="0.25">
      <c r="A23" s="453" t="s">
        <v>160</v>
      </c>
      <c r="B23" s="171">
        <v>1585547</v>
      </c>
      <c r="C23" s="171">
        <v>1235071</v>
      </c>
      <c r="D23" s="455">
        <f t="shared" si="0"/>
        <v>2820618</v>
      </c>
      <c r="E23" s="456">
        <v>2025415</v>
      </c>
      <c r="F23" s="171">
        <v>1257153</v>
      </c>
      <c r="G23" s="455">
        <f t="shared" si="1"/>
        <v>3282568</v>
      </c>
    </row>
    <row r="24" spans="1:8" x14ac:dyDescent="0.25">
      <c r="A24" s="453" t="s">
        <v>161</v>
      </c>
      <c r="B24" s="171">
        <v>3990729</v>
      </c>
      <c r="C24" s="171">
        <v>13853238</v>
      </c>
      <c r="D24" s="455">
        <f t="shared" si="0"/>
        <v>17843967</v>
      </c>
      <c r="E24" s="456">
        <v>3730437</v>
      </c>
      <c r="F24" s="171">
        <v>12851147</v>
      </c>
      <c r="G24" s="455">
        <f t="shared" si="1"/>
        <v>16581584</v>
      </c>
    </row>
    <row r="25" spans="1:8" x14ac:dyDescent="0.25">
      <c r="A25" s="453" t="s">
        <v>162</v>
      </c>
      <c r="B25" s="171">
        <v>2735517</v>
      </c>
      <c r="C25" s="171">
        <v>2148057</v>
      </c>
      <c r="D25" s="455">
        <f t="shared" si="0"/>
        <v>4883574</v>
      </c>
      <c r="E25" s="456">
        <v>2622915</v>
      </c>
      <c r="F25" s="171">
        <v>2551570</v>
      </c>
      <c r="G25" s="455">
        <f t="shared" si="1"/>
        <v>5174485</v>
      </c>
    </row>
    <row r="26" spans="1:8" x14ac:dyDescent="0.25">
      <c r="A26" s="453" t="s">
        <v>163</v>
      </c>
      <c r="B26" s="171">
        <v>79247757</v>
      </c>
      <c r="C26" s="171">
        <v>209317554</v>
      </c>
      <c r="D26" s="455">
        <f t="shared" si="0"/>
        <v>288565311</v>
      </c>
      <c r="E26" s="456">
        <v>79416828</v>
      </c>
      <c r="F26" s="171">
        <v>187103945</v>
      </c>
      <c r="G26" s="455">
        <f t="shared" si="1"/>
        <v>266520773</v>
      </c>
    </row>
    <row r="27" spans="1:8" x14ac:dyDescent="0.25">
      <c r="A27" s="453" t="s">
        <v>164</v>
      </c>
      <c r="B27" s="171">
        <v>1542123</v>
      </c>
      <c r="C27" s="171">
        <v>1574486</v>
      </c>
      <c r="D27" s="455">
        <f t="shared" si="0"/>
        <v>3116609</v>
      </c>
      <c r="E27" s="456">
        <v>1362858</v>
      </c>
      <c r="F27" s="171">
        <v>2539590</v>
      </c>
      <c r="G27" s="455">
        <f t="shared" si="1"/>
        <v>3902448</v>
      </c>
    </row>
    <row r="28" spans="1:8" ht="15.75" thickBot="1" x14ac:dyDescent="0.3">
      <c r="A28" s="457" t="s">
        <v>165</v>
      </c>
      <c r="B28" s="188">
        <v>11179656</v>
      </c>
      <c r="C28" s="188">
        <v>34510777</v>
      </c>
      <c r="D28" s="189">
        <f t="shared" si="0"/>
        <v>45690433</v>
      </c>
      <c r="E28" s="193">
        <v>10916077</v>
      </c>
      <c r="F28" s="188">
        <v>29210060</v>
      </c>
      <c r="G28" s="189">
        <f t="shared" si="1"/>
        <v>40126137</v>
      </c>
    </row>
    <row r="29" spans="1:8" ht="15.75" thickBot="1" x14ac:dyDescent="0.3">
      <c r="A29" s="190" t="s">
        <v>65</v>
      </c>
      <c r="B29" s="192">
        <f>SUM(B9:B28)</f>
        <v>361652951</v>
      </c>
      <c r="C29" s="188">
        <f t="shared" ref="C29" si="2">SUM(C9:C28)</f>
        <v>433964335</v>
      </c>
      <c r="D29" s="189">
        <f>SUM(D9:D28)</f>
        <v>795617286</v>
      </c>
      <c r="E29" s="193">
        <f>SUM(E9:E28)</f>
        <v>311357680</v>
      </c>
      <c r="F29" s="193">
        <f>SUM(F9:F28)</f>
        <v>406999593</v>
      </c>
      <c r="G29" s="189">
        <f>SUM(G9:G28)</f>
        <v>718357273</v>
      </c>
      <c r="H29" s="213"/>
    </row>
    <row r="32" spans="1:8" x14ac:dyDescent="0.25">
      <c r="C32" s="123"/>
    </row>
  </sheetData>
  <mergeCells count="6">
    <mergeCell ref="A1:G1"/>
    <mergeCell ref="A7:A8"/>
    <mergeCell ref="B7:D7"/>
    <mergeCell ref="E7:G7"/>
    <mergeCell ref="A3:G3"/>
    <mergeCell ref="A5:G5"/>
  </mergeCells>
  <printOptions horizontalCentered="1"/>
  <pageMargins left="0.70866141732283472" right="0.70866141732283472" top="0.74803149606299213" bottom="0.74803149606299213" header="0.31496062992125984" footer="0.31496062992125984"/>
  <pageSetup scale="9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FF00"/>
  </sheetPr>
  <dimension ref="A1:Q36"/>
  <sheetViews>
    <sheetView workbookViewId="0">
      <selection activeCell="B10" sqref="B10"/>
    </sheetView>
  </sheetViews>
  <sheetFormatPr baseColWidth="10" defaultRowHeight="15" x14ac:dyDescent="0.25"/>
  <cols>
    <col min="1" max="1" width="16.5703125" customWidth="1"/>
    <col min="2" max="2" width="9.28515625" customWidth="1"/>
    <col min="3" max="14" width="11.7109375" bestFit="1" customWidth="1"/>
    <col min="15" max="15" width="13" bestFit="1" customWidth="1"/>
    <col min="16" max="16" width="12.7109375" bestFit="1" customWidth="1"/>
  </cols>
  <sheetData>
    <row r="1" spans="1:17" ht="15.75" x14ac:dyDescent="0.25">
      <c r="A1" s="1235" t="s">
        <v>277</v>
      </c>
      <c r="B1" s="1235"/>
      <c r="C1" s="1235"/>
      <c r="D1" s="1235"/>
      <c r="E1" s="1235"/>
      <c r="F1" s="1235"/>
      <c r="G1" s="1235"/>
      <c r="H1" s="1235"/>
      <c r="I1" s="1235"/>
      <c r="J1" s="1235"/>
      <c r="K1" s="1235"/>
      <c r="L1" s="1235"/>
      <c r="M1" s="1235"/>
      <c r="N1" s="1235"/>
      <c r="O1" s="1235"/>
      <c r="P1" s="640"/>
      <c r="Q1" s="640"/>
    </row>
    <row r="2" spans="1:17" x14ac:dyDescent="0.25">
      <c r="A2" s="1236" t="s">
        <v>278</v>
      </c>
      <c r="B2" s="1236"/>
      <c r="C2" s="1236"/>
      <c r="D2" s="1236"/>
      <c r="E2" s="1236"/>
      <c r="F2" s="1236"/>
      <c r="G2" s="1236"/>
      <c r="H2" s="1236"/>
      <c r="I2" s="1236"/>
      <c r="J2" s="1236"/>
      <c r="K2" s="1236"/>
      <c r="L2" s="1236"/>
      <c r="M2" s="1236"/>
      <c r="N2" s="1236"/>
      <c r="O2" s="1236"/>
      <c r="P2" s="640"/>
      <c r="Q2" s="640"/>
    </row>
    <row r="3" spans="1:17" x14ac:dyDescent="0.25">
      <c r="A3" s="1236" t="s">
        <v>279</v>
      </c>
      <c r="B3" s="1236"/>
      <c r="C3" s="1236"/>
      <c r="D3" s="1236"/>
      <c r="E3" s="1236"/>
      <c r="F3" s="1236"/>
      <c r="G3" s="1236"/>
      <c r="H3" s="1236"/>
      <c r="I3" s="1236"/>
      <c r="J3" s="1236"/>
      <c r="K3" s="1236"/>
      <c r="L3" s="1236"/>
      <c r="M3" s="1236"/>
      <c r="N3" s="1236"/>
      <c r="O3" s="1236"/>
      <c r="P3" s="640"/>
      <c r="Q3" s="640"/>
    </row>
    <row r="4" spans="1:17" x14ac:dyDescent="0.25">
      <c r="A4" s="1237" t="s">
        <v>345</v>
      </c>
      <c r="B4" s="1237"/>
      <c r="C4" s="1237"/>
      <c r="D4" s="1237"/>
      <c r="E4" s="1237"/>
      <c r="F4" s="1237"/>
      <c r="G4" s="1237"/>
      <c r="H4" s="1237"/>
      <c r="I4" s="1237"/>
      <c r="J4" s="1237"/>
      <c r="K4" s="1237"/>
      <c r="L4" s="1237"/>
      <c r="M4" s="1237"/>
      <c r="N4" s="1237"/>
      <c r="O4" s="1237"/>
      <c r="P4" s="640"/>
      <c r="Q4" s="640"/>
    </row>
    <row r="5" spans="1:17" ht="15.75" thickBot="1" x14ac:dyDescent="0.3">
      <c r="A5" s="640"/>
      <c r="B5" s="640"/>
      <c r="C5" s="640"/>
      <c r="D5" s="640"/>
      <c r="E5" s="640"/>
      <c r="F5" s="640"/>
      <c r="G5" s="640"/>
      <c r="H5" s="640"/>
      <c r="I5" s="640"/>
      <c r="J5" s="640"/>
      <c r="K5" s="640"/>
      <c r="L5" s="640"/>
      <c r="M5" s="640"/>
      <c r="N5" s="640"/>
      <c r="O5" s="640"/>
      <c r="P5" s="640"/>
      <c r="Q5" s="640"/>
    </row>
    <row r="6" spans="1:17" ht="24" thickBot="1" x14ac:dyDescent="0.3">
      <c r="A6" s="641" t="s">
        <v>346</v>
      </c>
      <c r="B6" s="642" t="s">
        <v>281</v>
      </c>
      <c r="C6" s="641" t="s">
        <v>1</v>
      </c>
      <c r="D6" s="643" t="s">
        <v>2</v>
      </c>
      <c r="E6" s="641" t="s">
        <v>3</v>
      </c>
      <c r="F6" s="643" t="s">
        <v>4</v>
      </c>
      <c r="G6" s="641" t="s">
        <v>5</v>
      </c>
      <c r="H6" s="641" t="s">
        <v>6</v>
      </c>
      <c r="I6" s="641" t="s">
        <v>7</v>
      </c>
      <c r="J6" s="643" t="s">
        <v>8</v>
      </c>
      <c r="K6" s="641" t="s">
        <v>9</v>
      </c>
      <c r="L6" s="643" t="s">
        <v>10</v>
      </c>
      <c r="M6" s="641" t="s">
        <v>11</v>
      </c>
      <c r="N6" s="641" t="s">
        <v>12</v>
      </c>
      <c r="O6" s="644" t="s">
        <v>168</v>
      </c>
      <c r="P6" s="640"/>
      <c r="Q6" s="640"/>
    </row>
    <row r="7" spans="1:17" x14ac:dyDescent="0.25">
      <c r="A7" s="645" t="s">
        <v>282</v>
      </c>
      <c r="B7" s="646">
        <f>'[2]FGP simpl'!$C$16</f>
        <v>3.6636711021849497</v>
      </c>
      <c r="C7" s="647">
        <f t="shared" ref="C7:C26" si="0">$C$32*B7/100</f>
        <v>7321.4505632786977</v>
      </c>
      <c r="D7" s="647">
        <f t="shared" ref="D7:D26" si="1">$D$32*B7/100</f>
        <v>7321.4505632786977</v>
      </c>
      <c r="E7" s="647">
        <f t="shared" ref="E7:E26" si="2">$E$32*B7/100</f>
        <v>7321.4505632786977</v>
      </c>
      <c r="F7" s="647">
        <f t="shared" ref="F7:F26" si="3">$F$32*B7/100</f>
        <v>7321.4505632786977</v>
      </c>
      <c r="G7" s="647">
        <f t="shared" ref="G7:G26" si="4">$G$32*B7/100</f>
        <v>7321.4505632786977</v>
      </c>
      <c r="H7" s="647">
        <f t="shared" ref="H7:H26" si="5">$H$32*B7/100</f>
        <v>7321.4505632786977</v>
      </c>
      <c r="I7" s="647">
        <f t="shared" ref="I7:I26" si="6">$I$32*B7/100</f>
        <v>7321.4505632786977</v>
      </c>
      <c r="J7" s="647">
        <f t="shared" ref="J7:J26" si="7">$J$32*B7/100</f>
        <v>7321.4505632786977</v>
      </c>
      <c r="K7" s="647">
        <f t="shared" ref="K7:K26" si="8">$K$32*B7/100</f>
        <v>7321.4505632786977</v>
      </c>
      <c r="L7" s="647">
        <f t="shared" ref="L7:L26" si="9">$L$32*B7/100</f>
        <v>7321.4505632786977</v>
      </c>
      <c r="M7" s="647">
        <f t="shared" ref="M7:M26" si="10">$M$32*B7/100</f>
        <v>7321.4505632786977</v>
      </c>
      <c r="N7" s="647">
        <f t="shared" ref="N7:N26" si="11">$N$32*B7/100</f>
        <v>7321.4505632786977</v>
      </c>
      <c r="O7" s="648">
        <f>SUM(C7:N7)</f>
        <v>87857.406759344391</v>
      </c>
      <c r="P7" s="649"/>
      <c r="Q7" s="649"/>
    </row>
    <row r="8" spans="1:17" x14ac:dyDescent="0.25">
      <c r="A8" s="645" t="s">
        <v>147</v>
      </c>
      <c r="B8" s="646">
        <v>2.8774681766767136</v>
      </c>
      <c r="C8" s="647">
        <f t="shared" si="0"/>
        <v>5750.3090248418084</v>
      </c>
      <c r="D8" s="647">
        <f t="shared" si="1"/>
        <v>5750.3090248418084</v>
      </c>
      <c r="E8" s="647">
        <f t="shared" si="2"/>
        <v>5750.3090248418084</v>
      </c>
      <c r="F8" s="647">
        <f t="shared" si="3"/>
        <v>5750.3090248418084</v>
      </c>
      <c r="G8" s="647">
        <f t="shared" si="4"/>
        <v>5750.3090248418084</v>
      </c>
      <c r="H8" s="647">
        <f t="shared" si="5"/>
        <v>5750.3090248418084</v>
      </c>
      <c r="I8" s="647">
        <f t="shared" si="6"/>
        <v>5750.3090248418084</v>
      </c>
      <c r="J8" s="647">
        <f t="shared" si="7"/>
        <v>5750.3090248418084</v>
      </c>
      <c r="K8" s="647">
        <f t="shared" si="8"/>
        <v>5750.3090248418084</v>
      </c>
      <c r="L8" s="647">
        <f t="shared" si="9"/>
        <v>5750.3090248418084</v>
      </c>
      <c r="M8" s="647">
        <f t="shared" si="10"/>
        <v>5750.3090248418084</v>
      </c>
      <c r="N8" s="647">
        <f t="shared" si="11"/>
        <v>5750.3090248418084</v>
      </c>
      <c r="O8" s="648">
        <f t="shared" ref="O8:O26" si="12">SUM(C8:N8)</f>
        <v>69003.708298101701</v>
      </c>
      <c r="P8" s="649"/>
      <c r="Q8" s="640"/>
    </row>
    <row r="9" spans="1:17" x14ac:dyDescent="0.25">
      <c r="A9" s="645" t="s">
        <v>148</v>
      </c>
      <c r="B9" s="646">
        <v>4.7152682285520395</v>
      </c>
      <c r="C9" s="647">
        <f t="shared" si="0"/>
        <v>9422.9537163840378</v>
      </c>
      <c r="D9" s="647">
        <f t="shared" si="1"/>
        <v>9422.9537163840378</v>
      </c>
      <c r="E9" s="647">
        <f t="shared" si="2"/>
        <v>9422.9537163840378</v>
      </c>
      <c r="F9" s="647">
        <f t="shared" si="3"/>
        <v>9422.9537163840378</v>
      </c>
      <c r="G9" s="647">
        <f t="shared" si="4"/>
        <v>9422.9537163840378</v>
      </c>
      <c r="H9" s="647">
        <f t="shared" si="5"/>
        <v>9422.9537163840378</v>
      </c>
      <c r="I9" s="647">
        <f t="shared" si="6"/>
        <v>9422.9537163840378</v>
      </c>
      <c r="J9" s="647">
        <f t="shared" si="7"/>
        <v>9422.9537163840378</v>
      </c>
      <c r="K9" s="647">
        <f t="shared" si="8"/>
        <v>9422.9537163840378</v>
      </c>
      <c r="L9" s="647">
        <f t="shared" si="9"/>
        <v>9422.9537163840378</v>
      </c>
      <c r="M9" s="647">
        <f t="shared" si="10"/>
        <v>9422.9537163840378</v>
      </c>
      <c r="N9" s="647">
        <f t="shared" si="11"/>
        <v>9422.9537163840378</v>
      </c>
      <c r="O9" s="648">
        <f t="shared" si="12"/>
        <v>113075.44459660847</v>
      </c>
      <c r="P9" s="649"/>
      <c r="Q9" s="640"/>
    </row>
    <row r="10" spans="1:17" x14ac:dyDescent="0.25">
      <c r="A10" s="645" t="s">
        <v>283</v>
      </c>
      <c r="B10" s="646">
        <v>9.1392838894846484</v>
      </c>
      <c r="C10" s="647">
        <f t="shared" si="0"/>
        <v>18263.870668064515</v>
      </c>
      <c r="D10" s="647">
        <f t="shared" si="1"/>
        <v>18263.870668064515</v>
      </c>
      <c r="E10" s="647">
        <f t="shared" si="2"/>
        <v>18263.870668064515</v>
      </c>
      <c r="F10" s="647">
        <f t="shared" si="3"/>
        <v>18263.870668064515</v>
      </c>
      <c r="G10" s="647">
        <f t="shared" si="4"/>
        <v>18263.870668064515</v>
      </c>
      <c r="H10" s="647">
        <f t="shared" si="5"/>
        <v>18263.870668064515</v>
      </c>
      <c r="I10" s="647">
        <f t="shared" si="6"/>
        <v>18263.870668064515</v>
      </c>
      <c r="J10" s="647">
        <f t="shared" si="7"/>
        <v>18263.870668064515</v>
      </c>
      <c r="K10" s="647">
        <f t="shared" si="8"/>
        <v>18263.870668064515</v>
      </c>
      <c r="L10" s="647">
        <f t="shared" si="9"/>
        <v>18263.870668064515</v>
      </c>
      <c r="M10" s="647">
        <f t="shared" si="10"/>
        <v>18263.870668064515</v>
      </c>
      <c r="N10" s="647">
        <f t="shared" si="11"/>
        <v>18263.870668064515</v>
      </c>
      <c r="O10" s="648">
        <f t="shared" si="12"/>
        <v>219166.44801677417</v>
      </c>
      <c r="P10" s="649"/>
      <c r="Q10" s="640"/>
    </row>
    <row r="11" spans="1:17" x14ac:dyDescent="0.25">
      <c r="A11" s="645" t="s">
        <v>150</v>
      </c>
      <c r="B11" s="646">
        <v>5.3963653133391265</v>
      </c>
      <c r="C11" s="647">
        <f t="shared" si="0"/>
        <v>10784.052596708738</v>
      </c>
      <c r="D11" s="647">
        <f t="shared" si="1"/>
        <v>10784.052596708738</v>
      </c>
      <c r="E11" s="647">
        <f t="shared" si="2"/>
        <v>10784.052596708738</v>
      </c>
      <c r="F11" s="647">
        <f t="shared" si="3"/>
        <v>10784.052596708738</v>
      </c>
      <c r="G11" s="647">
        <f t="shared" si="4"/>
        <v>10784.052596708738</v>
      </c>
      <c r="H11" s="647">
        <f t="shared" si="5"/>
        <v>10784.052596708738</v>
      </c>
      <c r="I11" s="647">
        <f t="shared" si="6"/>
        <v>10784.052596708738</v>
      </c>
      <c r="J11" s="647">
        <f t="shared" si="7"/>
        <v>10784.052596708738</v>
      </c>
      <c r="K11" s="647">
        <f t="shared" si="8"/>
        <v>10784.052596708738</v>
      </c>
      <c r="L11" s="647">
        <f t="shared" si="9"/>
        <v>10784.052596708738</v>
      </c>
      <c r="M11" s="647">
        <f t="shared" si="10"/>
        <v>10784.052596708738</v>
      </c>
      <c r="N11" s="647">
        <f t="shared" si="11"/>
        <v>10784.052596708738</v>
      </c>
      <c r="O11" s="648">
        <f t="shared" si="12"/>
        <v>129408.63116050482</v>
      </c>
      <c r="P11" s="649"/>
      <c r="Q11" s="640"/>
    </row>
    <row r="12" spans="1:17" x14ac:dyDescent="0.25">
      <c r="A12" s="645" t="s">
        <v>284</v>
      </c>
      <c r="B12" s="646">
        <v>3.6295907588400458</v>
      </c>
      <c r="C12" s="647">
        <f t="shared" si="0"/>
        <v>7253.3446820410309</v>
      </c>
      <c r="D12" s="647">
        <f t="shared" si="1"/>
        <v>7253.3446820410309</v>
      </c>
      <c r="E12" s="647">
        <f t="shared" si="2"/>
        <v>7253.3446820410309</v>
      </c>
      <c r="F12" s="647">
        <f t="shared" si="3"/>
        <v>7253.3446820410309</v>
      </c>
      <c r="G12" s="647">
        <f t="shared" si="4"/>
        <v>7253.3446820410309</v>
      </c>
      <c r="H12" s="647">
        <f t="shared" si="5"/>
        <v>7253.3446820410309</v>
      </c>
      <c r="I12" s="647">
        <f t="shared" si="6"/>
        <v>7253.3446820410309</v>
      </c>
      <c r="J12" s="647">
        <f t="shared" si="7"/>
        <v>7253.3446820410309</v>
      </c>
      <c r="K12" s="647">
        <f t="shared" si="8"/>
        <v>7253.3446820410309</v>
      </c>
      <c r="L12" s="647">
        <f t="shared" si="9"/>
        <v>7253.3446820410309</v>
      </c>
      <c r="M12" s="647">
        <f t="shared" si="10"/>
        <v>7253.3446820410309</v>
      </c>
      <c r="N12" s="647">
        <f t="shared" si="11"/>
        <v>7253.3446820410309</v>
      </c>
      <c r="O12" s="648">
        <f t="shared" si="12"/>
        <v>87040.136184492367</v>
      </c>
      <c r="P12" s="649"/>
      <c r="Q12" s="640"/>
    </row>
    <row r="13" spans="1:17" x14ac:dyDescent="0.25">
      <c r="A13" s="645" t="s">
        <v>152</v>
      </c>
      <c r="B13" s="646">
        <v>4.0700473326514279</v>
      </c>
      <c r="C13" s="647">
        <f t="shared" si="0"/>
        <v>8133.5495204360341</v>
      </c>
      <c r="D13" s="647">
        <f t="shared" si="1"/>
        <v>8133.5495204360341</v>
      </c>
      <c r="E13" s="647">
        <f t="shared" si="2"/>
        <v>8133.5495204360341</v>
      </c>
      <c r="F13" s="647">
        <f t="shared" si="3"/>
        <v>8133.5495204360341</v>
      </c>
      <c r="G13" s="647">
        <f t="shared" si="4"/>
        <v>8133.5495204360341</v>
      </c>
      <c r="H13" s="647">
        <f t="shared" si="5"/>
        <v>8133.5495204360341</v>
      </c>
      <c r="I13" s="647">
        <f t="shared" si="6"/>
        <v>8133.5495204360341</v>
      </c>
      <c r="J13" s="647">
        <f t="shared" si="7"/>
        <v>8133.5495204360341</v>
      </c>
      <c r="K13" s="647">
        <f t="shared" si="8"/>
        <v>8133.5495204360341</v>
      </c>
      <c r="L13" s="647">
        <f t="shared" si="9"/>
        <v>8133.5495204360341</v>
      </c>
      <c r="M13" s="647">
        <f t="shared" si="10"/>
        <v>8133.5495204360341</v>
      </c>
      <c r="N13" s="647">
        <f t="shared" si="11"/>
        <v>8133.5495204360341</v>
      </c>
      <c r="O13" s="648">
        <f t="shared" si="12"/>
        <v>97602.594245232409</v>
      </c>
      <c r="P13" s="649"/>
      <c r="Q13" s="640"/>
    </row>
    <row r="14" spans="1:17" x14ac:dyDescent="0.25">
      <c r="A14" s="645" t="s">
        <v>153</v>
      </c>
      <c r="B14" s="646">
        <v>3.2056447774490451</v>
      </c>
      <c r="C14" s="647">
        <f t="shared" si="0"/>
        <v>6406.1344773903538</v>
      </c>
      <c r="D14" s="647">
        <f t="shared" si="1"/>
        <v>6406.1344773903538</v>
      </c>
      <c r="E14" s="647">
        <f t="shared" si="2"/>
        <v>6406.1344773903538</v>
      </c>
      <c r="F14" s="647">
        <f t="shared" si="3"/>
        <v>6406.1344773903538</v>
      </c>
      <c r="G14" s="647">
        <f t="shared" si="4"/>
        <v>6406.1344773903538</v>
      </c>
      <c r="H14" s="647">
        <f t="shared" si="5"/>
        <v>6406.1344773903538</v>
      </c>
      <c r="I14" s="647">
        <f t="shared" si="6"/>
        <v>6406.1344773903538</v>
      </c>
      <c r="J14" s="647">
        <f t="shared" si="7"/>
        <v>6406.1344773903538</v>
      </c>
      <c r="K14" s="647">
        <f t="shared" si="8"/>
        <v>6406.1344773903538</v>
      </c>
      <c r="L14" s="647">
        <f t="shared" si="9"/>
        <v>6406.1344773903538</v>
      </c>
      <c r="M14" s="647">
        <f t="shared" si="10"/>
        <v>6406.1344773903538</v>
      </c>
      <c r="N14" s="647">
        <f t="shared" si="11"/>
        <v>6406.1344773903538</v>
      </c>
      <c r="O14" s="648">
        <f t="shared" si="12"/>
        <v>76873.613728684242</v>
      </c>
      <c r="P14" s="649"/>
      <c r="Q14" s="640"/>
    </row>
    <row r="15" spans="1:17" x14ac:dyDescent="0.25">
      <c r="A15" s="645" t="s">
        <v>154</v>
      </c>
      <c r="B15" s="646">
        <v>3.1677886526185874</v>
      </c>
      <c r="C15" s="647">
        <f t="shared" si="0"/>
        <v>6330.4831051101819</v>
      </c>
      <c r="D15" s="647">
        <f t="shared" si="1"/>
        <v>6330.4831051101819</v>
      </c>
      <c r="E15" s="647">
        <f t="shared" si="2"/>
        <v>6330.4831051101819</v>
      </c>
      <c r="F15" s="647">
        <f t="shared" si="3"/>
        <v>6330.4831051101819</v>
      </c>
      <c r="G15" s="647">
        <f t="shared" si="4"/>
        <v>6330.4831051101819</v>
      </c>
      <c r="H15" s="647">
        <f t="shared" si="5"/>
        <v>6330.4831051101819</v>
      </c>
      <c r="I15" s="647">
        <f t="shared" si="6"/>
        <v>6330.4831051101819</v>
      </c>
      <c r="J15" s="647">
        <f t="shared" si="7"/>
        <v>6330.4831051101819</v>
      </c>
      <c r="K15" s="647">
        <f t="shared" si="8"/>
        <v>6330.4831051101819</v>
      </c>
      <c r="L15" s="647">
        <f t="shared" si="9"/>
        <v>6330.4831051101819</v>
      </c>
      <c r="M15" s="647">
        <f t="shared" si="10"/>
        <v>6330.4831051101819</v>
      </c>
      <c r="N15" s="647">
        <f t="shared" si="11"/>
        <v>6330.4831051101819</v>
      </c>
      <c r="O15" s="648">
        <f t="shared" si="12"/>
        <v>75965.797261322165</v>
      </c>
      <c r="P15" s="649"/>
      <c r="Q15" s="640"/>
    </row>
    <row r="16" spans="1:17" x14ac:dyDescent="0.25">
      <c r="A16" s="645" t="s">
        <v>155</v>
      </c>
      <c r="B16" s="646">
        <v>2.8145431996763457</v>
      </c>
      <c r="C16" s="647">
        <f t="shared" si="0"/>
        <v>5624.5602620697118</v>
      </c>
      <c r="D16" s="647">
        <f t="shared" si="1"/>
        <v>5624.5602620697118</v>
      </c>
      <c r="E16" s="647">
        <f t="shared" si="2"/>
        <v>5624.5602620697118</v>
      </c>
      <c r="F16" s="647">
        <f t="shared" si="3"/>
        <v>5624.5602620697118</v>
      </c>
      <c r="G16" s="647">
        <f t="shared" si="4"/>
        <v>5624.5602620697118</v>
      </c>
      <c r="H16" s="647">
        <f t="shared" si="5"/>
        <v>5624.5602620697118</v>
      </c>
      <c r="I16" s="647">
        <f t="shared" si="6"/>
        <v>5624.5602620697118</v>
      </c>
      <c r="J16" s="647">
        <f t="shared" si="7"/>
        <v>5624.5602620697118</v>
      </c>
      <c r="K16" s="647">
        <f t="shared" si="8"/>
        <v>5624.5602620697118</v>
      </c>
      <c r="L16" s="647">
        <f t="shared" si="9"/>
        <v>5624.5602620697118</v>
      </c>
      <c r="M16" s="647">
        <f t="shared" si="10"/>
        <v>5624.5602620697118</v>
      </c>
      <c r="N16" s="647">
        <f t="shared" si="11"/>
        <v>5624.5602620697118</v>
      </c>
      <c r="O16" s="648">
        <f t="shared" si="12"/>
        <v>67494.723144836535</v>
      </c>
      <c r="P16" s="649"/>
      <c r="Q16" s="640"/>
    </row>
    <row r="17" spans="1:16" x14ac:dyDescent="0.25">
      <c r="A17" s="645" t="s">
        <v>156</v>
      </c>
      <c r="B17" s="646">
        <v>3.814501471077032</v>
      </c>
      <c r="C17" s="647">
        <f t="shared" si="0"/>
        <v>7622.868746975887</v>
      </c>
      <c r="D17" s="647">
        <f t="shared" si="1"/>
        <v>7622.868746975887</v>
      </c>
      <c r="E17" s="647">
        <f t="shared" si="2"/>
        <v>7622.868746975887</v>
      </c>
      <c r="F17" s="647">
        <f t="shared" si="3"/>
        <v>7622.868746975887</v>
      </c>
      <c r="G17" s="647">
        <f t="shared" si="4"/>
        <v>7622.868746975887</v>
      </c>
      <c r="H17" s="647">
        <f t="shared" si="5"/>
        <v>7622.868746975887</v>
      </c>
      <c r="I17" s="647">
        <f t="shared" si="6"/>
        <v>7622.868746975887</v>
      </c>
      <c r="J17" s="647">
        <f t="shared" si="7"/>
        <v>7622.868746975887</v>
      </c>
      <c r="K17" s="647">
        <f t="shared" si="8"/>
        <v>7622.868746975887</v>
      </c>
      <c r="L17" s="647">
        <f t="shared" si="9"/>
        <v>7622.868746975887</v>
      </c>
      <c r="M17" s="647">
        <f t="shared" si="10"/>
        <v>7622.868746975887</v>
      </c>
      <c r="N17" s="647">
        <f t="shared" si="11"/>
        <v>7622.868746975887</v>
      </c>
      <c r="O17" s="648">
        <f t="shared" si="12"/>
        <v>91474.42496371064</v>
      </c>
      <c r="P17" s="649"/>
    </row>
    <row r="18" spans="1:16" x14ac:dyDescent="0.25">
      <c r="A18" s="645" t="s">
        <v>157</v>
      </c>
      <c r="B18" s="646">
        <v>3.0792318274418586</v>
      </c>
      <c r="C18" s="647">
        <f t="shared" si="0"/>
        <v>6153.5118652012115</v>
      </c>
      <c r="D18" s="647">
        <f t="shared" si="1"/>
        <v>6153.5118652012115</v>
      </c>
      <c r="E18" s="647">
        <f t="shared" si="2"/>
        <v>6153.5118652012115</v>
      </c>
      <c r="F18" s="647">
        <f t="shared" si="3"/>
        <v>6153.5118652012115</v>
      </c>
      <c r="G18" s="647">
        <f t="shared" si="4"/>
        <v>6153.5118652012115</v>
      </c>
      <c r="H18" s="647">
        <f t="shared" si="5"/>
        <v>6153.5118652012115</v>
      </c>
      <c r="I18" s="647">
        <f t="shared" si="6"/>
        <v>6153.5118652012115</v>
      </c>
      <c r="J18" s="647">
        <f t="shared" si="7"/>
        <v>6153.5118652012115</v>
      </c>
      <c r="K18" s="647">
        <f t="shared" si="8"/>
        <v>6153.5118652012115</v>
      </c>
      <c r="L18" s="647">
        <f t="shared" si="9"/>
        <v>6153.5118652012115</v>
      </c>
      <c r="M18" s="647">
        <f t="shared" si="10"/>
        <v>6153.5118652012115</v>
      </c>
      <c r="N18" s="647">
        <f t="shared" si="11"/>
        <v>6153.5118652012115</v>
      </c>
      <c r="O18" s="648">
        <f t="shared" si="12"/>
        <v>73842.142382414531</v>
      </c>
      <c r="P18" s="649"/>
    </row>
    <row r="19" spans="1:16" x14ac:dyDescent="0.25">
      <c r="A19" s="645" t="s">
        <v>158</v>
      </c>
      <c r="B19" s="646">
        <v>3.9687689066587866</v>
      </c>
      <c r="C19" s="647">
        <f t="shared" si="0"/>
        <v>7931.1555368195513</v>
      </c>
      <c r="D19" s="647">
        <f t="shared" si="1"/>
        <v>7931.1555368195513</v>
      </c>
      <c r="E19" s="647">
        <f t="shared" si="2"/>
        <v>7931.1555368195513</v>
      </c>
      <c r="F19" s="647">
        <f t="shared" si="3"/>
        <v>7931.1555368195513</v>
      </c>
      <c r="G19" s="647">
        <f t="shared" si="4"/>
        <v>7931.1555368195513</v>
      </c>
      <c r="H19" s="647">
        <f t="shared" si="5"/>
        <v>7931.1555368195513</v>
      </c>
      <c r="I19" s="647">
        <f t="shared" si="6"/>
        <v>7931.1555368195513</v>
      </c>
      <c r="J19" s="647">
        <f t="shared" si="7"/>
        <v>7931.1555368195513</v>
      </c>
      <c r="K19" s="647">
        <f t="shared" si="8"/>
        <v>7931.1555368195513</v>
      </c>
      <c r="L19" s="647">
        <f t="shared" si="9"/>
        <v>7931.1555368195513</v>
      </c>
      <c r="M19" s="647">
        <f t="shared" si="10"/>
        <v>7931.1555368195513</v>
      </c>
      <c r="N19" s="647">
        <f t="shared" si="11"/>
        <v>7931.1555368195513</v>
      </c>
      <c r="O19" s="648">
        <f t="shared" si="12"/>
        <v>95173.866441834645</v>
      </c>
      <c r="P19" s="649"/>
    </row>
    <row r="20" spans="1:16" x14ac:dyDescent="0.25">
      <c r="A20" s="645" t="s">
        <v>285</v>
      </c>
      <c r="B20" s="646">
        <v>2.5568285677800717</v>
      </c>
      <c r="C20" s="647">
        <f t="shared" si="0"/>
        <v>5109.5454356195814</v>
      </c>
      <c r="D20" s="647">
        <f t="shared" si="1"/>
        <v>5109.5454356195814</v>
      </c>
      <c r="E20" s="647">
        <f t="shared" si="2"/>
        <v>5109.5454356195814</v>
      </c>
      <c r="F20" s="647">
        <f t="shared" si="3"/>
        <v>5109.5454356195814</v>
      </c>
      <c r="G20" s="647">
        <f t="shared" si="4"/>
        <v>5109.5454356195814</v>
      </c>
      <c r="H20" s="647">
        <f t="shared" si="5"/>
        <v>5109.5454356195814</v>
      </c>
      <c r="I20" s="647">
        <f t="shared" si="6"/>
        <v>5109.5454356195814</v>
      </c>
      <c r="J20" s="647">
        <f t="shared" si="7"/>
        <v>5109.5454356195814</v>
      </c>
      <c r="K20" s="647">
        <f t="shared" si="8"/>
        <v>5109.5454356195814</v>
      </c>
      <c r="L20" s="647">
        <f t="shared" si="9"/>
        <v>5109.5454356195814</v>
      </c>
      <c r="M20" s="647">
        <f t="shared" si="10"/>
        <v>5109.5454356195814</v>
      </c>
      <c r="N20" s="647">
        <f t="shared" si="11"/>
        <v>5109.5454356195814</v>
      </c>
      <c r="O20" s="648">
        <f t="shared" si="12"/>
        <v>61314.545227434988</v>
      </c>
      <c r="P20" s="649"/>
    </row>
    <row r="21" spans="1:16" x14ac:dyDescent="0.25">
      <c r="A21" s="645" t="s">
        <v>286</v>
      </c>
      <c r="B21" s="646">
        <v>3.0448340829893383</v>
      </c>
      <c r="C21" s="647">
        <f t="shared" si="0"/>
        <v>6084.7716921689689</v>
      </c>
      <c r="D21" s="647">
        <f t="shared" si="1"/>
        <v>6084.7716921689689</v>
      </c>
      <c r="E21" s="647">
        <f t="shared" si="2"/>
        <v>6084.7716921689689</v>
      </c>
      <c r="F21" s="647">
        <f t="shared" si="3"/>
        <v>6084.7716921689689</v>
      </c>
      <c r="G21" s="647">
        <f t="shared" si="4"/>
        <v>6084.7716921689689</v>
      </c>
      <c r="H21" s="647">
        <f t="shared" si="5"/>
        <v>6084.7716921689689</v>
      </c>
      <c r="I21" s="647">
        <f t="shared" si="6"/>
        <v>6084.7716921689689</v>
      </c>
      <c r="J21" s="647">
        <f t="shared" si="7"/>
        <v>6084.7716921689689</v>
      </c>
      <c r="K21" s="647">
        <f t="shared" si="8"/>
        <v>6084.7716921689689</v>
      </c>
      <c r="L21" s="647">
        <f t="shared" si="9"/>
        <v>6084.7716921689689</v>
      </c>
      <c r="M21" s="647">
        <f t="shared" si="10"/>
        <v>6084.7716921689689</v>
      </c>
      <c r="N21" s="647">
        <f t="shared" si="11"/>
        <v>6084.7716921689689</v>
      </c>
      <c r="O21" s="648">
        <f t="shared" si="12"/>
        <v>73017.260306027645</v>
      </c>
      <c r="P21" s="649"/>
    </row>
    <row r="22" spans="1:16" x14ac:dyDescent="0.25">
      <c r="A22" s="645" t="s">
        <v>287</v>
      </c>
      <c r="B22" s="646">
        <v>6.4580166897572191</v>
      </c>
      <c r="C22" s="647">
        <f t="shared" si="0"/>
        <v>12905.648081425221</v>
      </c>
      <c r="D22" s="647">
        <f t="shared" si="1"/>
        <v>12905.648081425221</v>
      </c>
      <c r="E22" s="647">
        <f t="shared" si="2"/>
        <v>12905.648081425221</v>
      </c>
      <c r="F22" s="647">
        <f t="shared" si="3"/>
        <v>12905.648081425221</v>
      </c>
      <c r="G22" s="647">
        <f t="shared" si="4"/>
        <v>12905.648081425221</v>
      </c>
      <c r="H22" s="647">
        <f t="shared" si="5"/>
        <v>12905.648081425221</v>
      </c>
      <c r="I22" s="647">
        <f t="shared" si="6"/>
        <v>12905.648081425221</v>
      </c>
      <c r="J22" s="647">
        <f t="shared" si="7"/>
        <v>12905.648081425221</v>
      </c>
      <c r="K22" s="647">
        <f t="shared" si="8"/>
        <v>12905.648081425221</v>
      </c>
      <c r="L22" s="647">
        <f t="shared" si="9"/>
        <v>12905.648081425221</v>
      </c>
      <c r="M22" s="647">
        <f t="shared" si="10"/>
        <v>12905.648081425221</v>
      </c>
      <c r="N22" s="647">
        <f t="shared" si="11"/>
        <v>12905.648081425221</v>
      </c>
      <c r="O22" s="648">
        <f t="shared" si="12"/>
        <v>154867.77697710268</v>
      </c>
      <c r="P22" s="649"/>
    </row>
    <row r="23" spans="1:16" x14ac:dyDescent="0.25">
      <c r="A23" s="645" t="s">
        <v>162</v>
      </c>
      <c r="B23" s="646">
        <v>3.6739352083662298</v>
      </c>
      <c r="C23" s="647">
        <f t="shared" si="0"/>
        <v>7341.962269675505</v>
      </c>
      <c r="D23" s="647">
        <f t="shared" si="1"/>
        <v>7341.962269675505</v>
      </c>
      <c r="E23" s="647">
        <f t="shared" si="2"/>
        <v>7341.962269675505</v>
      </c>
      <c r="F23" s="647">
        <f t="shared" si="3"/>
        <v>7341.962269675505</v>
      </c>
      <c r="G23" s="647">
        <f t="shared" si="4"/>
        <v>7341.962269675505</v>
      </c>
      <c r="H23" s="647">
        <f t="shared" si="5"/>
        <v>7341.962269675505</v>
      </c>
      <c r="I23" s="647">
        <f t="shared" si="6"/>
        <v>7341.962269675505</v>
      </c>
      <c r="J23" s="647">
        <f t="shared" si="7"/>
        <v>7341.962269675505</v>
      </c>
      <c r="K23" s="647">
        <f t="shared" si="8"/>
        <v>7341.962269675505</v>
      </c>
      <c r="L23" s="647">
        <f t="shared" si="9"/>
        <v>7341.962269675505</v>
      </c>
      <c r="M23" s="647">
        <f t="shared" si="10"/>
        <v>7341.962269675505</v>
      </c>
      <c r="N23" s="647">
        <f t="shared" si="11"/>
        <v>7341.962269675505</v>
      </c>
      <c r="O23" s="648">
        <f t="shared" si="12"/>
        <v>88103.547236106067</v>
      </c>
      <c r="P23" s="649"/>
    </row>
    <row r="24" spans="1:16" x14ac:dyDescent="0.25">
      <c r="A24" s="645" t="s">
        <v>163</v>
      </c>
      <c r="B24" s="646">
        <v>21.979340072457017</v>
      </c>
      <c r="C24" s="647">
        <f t="shared" si="0"/>
        <v>43923.33461866001</v>
      </c>
      <c r="D24" s="647">
        <f t="shared" si="1"/>
        <v>43923.33461866001</v>
      </c>
      <c r="E24" s="647">
        <f t="shared" si="2"/>
        <v>43923.33461866001</v>
      </c>
      <c r="F24" s="647">
        <f t="shared" si="3"/>
        <v>43923.33461866001</v>
      </c>
      <c r="G24" s="647">
        <f t="shared" si="4"/>
        <v>43923.33461866001</v>
      </c>
      <c r="H24" s="647">
        <f t="shared" si="5"/>
        <v>43923.33461866001</v>
      </c>
      <c r="I24" s="647">
        <f t="shared" si="6"/>
        <v>43923.33461866001</v>
      </c>
      <c r="J24" s="647">
        <f t="shared" si="7"/>
        <v>43923.33461866001</v>
      </c>
      <c r="K24" s="647">
        <f t="shared" si="8"/>
        <v>43923.33461866001</v>
      </c>
      <c r="L24" s="647">
        <f t="shared" si="9"/>
        <v>43923.33461866001</v>
      </c>
      <c r="M24" s="647">
        <f t="shared" si="10"/>
        <v>43923.33461866001</v>
      </c>
      <c r="N24" s="647">
        <f t="shared" si="11"/>
        <v>43923.33461866001</v>
      </c>
      <c r="O24" s="648">
        <f t="shared" si="12"/>
        <v>527080.01542392024</v>
      </c>
      <c r="P24" s="649"/>
    </row>
    <row r="25" spans="1:16" x14ac:dyDescent="0.25">
      <c r="A25" s="645" t="s">
        <v>164</v>
      </c>
      <c r="B25" s="646">
        <v>3.7144952969630278</v>
      </c>
      <c r="C25" s="647">
        <f t="shared" si="0"/>
        <v>7423.0172211766258</v>
      </c>
      <c r="D25" s="647">
        <f t="shared" si="1"/>
        <v>7423.0172211766258</v>
      </c>
      <c r="E25" s="647">
        <f t="shared" si="2"/>
        <v>7423.0172211766258</v>
      </c>
      <c r="F25" s="647">
        <f t="shared" si="3"/>
        <v>7423.0172211766258</v>
      </c>
      <c r="G25" s="647">
        <f t="shared" si="4"/>
        <v>7423.0172211766258</v>
      </c>
      <c r="H25" s="647">
        <f t="shared" si="5"/>
        <v>7423.0172211766258</v>
      </c>
      <c r="I25" s="647">
        <f t="shared" si="6"/>
        <v>7423.0172211766258</v>
      </c>
      <c r="J25" s="647">
        <f t="shared" si="7"/>
        <v>7423.0172211766258</v>
      </c>
      <c r="K25" s="647">
        <f t="shared" si="8"/>
        <v>7423.0172211766258</v>
      </c>
      <c r="L25" s="647">
        <f t="shared" si="9"/>
        <v>7423.0172211766258</v>
      </c>
      <c r="M25" s="647">
        <f t="shared" si="10"/>
        <v>7423.0172211766258</v>
      </c>
      <c r="N25" s="647">
        <f t="shared" si="11"/>
        <v>7423.0172211766258</v>
      </c>
      <c r="O25" s="648">
        <f t="shared" si="12"/>
        <v>89076.20665411948</v>
      </c>
      <c r="P25" s="649"/>
    </row>
    <row r="26" spans="1:16" ht="15.75" thickBot="1" x14ac:dyDescent="0.3">
      <c r="A26" s="645" t="s">
        <v>165</v>
      </c>
      <c r="B26" s="646">
        <v>5.0303764450364916</v>
      </c>
      <c r="C26" s="647">
        <f t="shared" si="0"/>
        <v>10052.663415952307</v>
      </c>
      <c r="D26" s="647">
        <f t="shared" si="1"/>
        <v>10052.663415952307</v>
      </c>
      <c r="E26" s="647">
        <f t="shared" si="2"/>
        <v>10052.663415952307</v>
      </c>
      <c r="F26" s="647">
        <f t="shared" si="3"/>
        <v>10052.663415952307</v>
      </c>
      <c r="G26" s="647">
        <f t="shared" si="4"/>
        <v>10052.663415952307</v>
      </c>
      <c r="H26" s="647">
        <f t="shared" si="5"/>
        <v>10052.663415952307</v>
      </c>
      <c r="I26" s="647">
        <f t="shared" si="6"/>
        <v>10052.663415952307</v>
      </c>
      <c r="J26" s="647">
        <f t="shared" si="7"/>
        <v>10052.663415952307</v>
      </c>
      <c r="K26" s="647">
        <f t="shared" si="8"/>
        <v>10052.663415952307</v>
      </c>
      <c r="L26" s="647">
        <f t="shared" si="9"/>
        <v>10052.663415952307</v>
      </c>
      <c r="M26" s="647">
        <f t="shared" si="10"/>
        <v>10052.663415952307</v>
      </c>
      <c r="N26" s="647">
        <f t="shared" si="11"/>
        <v>10052.663415952307</v>
      </c>
      <c r="O26" s="648">
        <f t="shared" si="12"/>
        <v>120631.9609914277</v>
      </c>
      <c r="P26" s="649"/>
    </row>
    <row r="27" spans="1:16" ht="15.75" thickBot="1" x14ac:dyDescent="0.3">
      <c r="A27" s="650" t="s">
        <v>288</v>
      </c>
      <c r="B27" s="651">
        <f>SUM(B7:B26)</f>
        <v>100</v>
      </c>
      <c r="C27" s="652">
        <f>SUM(C7:C26)</f>
        <v>199839.18749999997</v>
      </c>
      <c r="D27" s="652">
        <f t="shared" ref="D27:N27" si="13">SUM(D7:D26)</f>
        <v>199839.18749999997</v>
      </c>
      <c r="E27" s="652">
        <f t="shared" si="13"/>
        <v>199839.18749999997</v>
      </c>
      <c r="F27" s="652">
        <f t="shared" si="13"/>
        <v>199839.18749999997</v>
      </c>
      <c r="G27" s="652">
        <f t="shared" si="13"/>
        <v>199839.18749999997</v>
      </c>
      <c r="H27" s="652">
        <f t="shared" si="13"/>
        <v>199839.18749999997</v>
      </c>
      <c r="I27" s="652">
        <f t="shared" si="13"/>
        <v>199839.18749999997</v>
      </c>
      <c r="J27" s="652">
        <f t="shared" si="13"/>
        <v>199839.18749999997</v>
      </c>
      <c r="K27" s="652">
        <f t="shared" si="13"/>
        <v>199839.18749999997</v>
      </c>
      <c r="L27" s="652">
        <f t="shared" si="13"/>
        <v>199839.18749999997</v>
      </c>
      <c r="M27" s="652">
        <f t="shared" si="13"/>
        <v>199839.18749999997</v>
      </c>
      <c r="N27" s="652">
        <f t="shared" si="13"/>
        <v>199839.18749999997</v>
      </c>
      <c r="O27" s="652">
        <f>SUM(C27:N27)</f>
        <v>2398070.2499999995</v>
      </c>
      <c r="P27" s="640"/>
    </row>
    <row r="28" spans="1:16" x14ac:dyDescent="0.25">
      <c r="A28" s="653"/>
      <c r="B28" s="653"/>
      <c r="C28" s="653"/>
      <c r="D28" s="653"/>
      <c r="E28" s="653"/>
      <c r="F28" s="653"/>
      <c r="G28" s="653"/>
      <c r="H28" s="653"/>
      <c r="I28" s="653"/>
      <c r="J28" s="653"/>
      <c r="K28" s="653"/>
      <c r="L28" s="653"/>
      <c r="M28" s="653"/>
      <c r="N28" s="653"/>
      <c r="O28" s="653"/>
      <c r="P28" s="640"/>
    </row>
    <row r="29" spans="1:16" x14ac:dyDescent="0.25">
      <c r="A29" s="654" t="s">
        <v>289</v>
      </c>
      <c r="B29" s="640"/>
      <c r="C29" s="640"/>
      <c r="D29" s="640"/>
      <c r="E29" s="640"/>
      <c r="F29" s="640"/>
      <c r="G29" s="640"/>
      <c r="H29" s="640"/>
      <c r="I29" s="640"/>
      <c r="J29" s="640"/>
      <c r="K29" s="640"/>
      <c r="L29" s="640"/>
      <c r="M29" s="640"/>
      <c r="N29" s="640"/>
      <c r="O29" s="649"/>
      <c r="P29" s="640"/>
    </row>
    <row r="30" spans="1:16" hidden="1" x14ac:dyDescent="0.25">
      <c r="A30" s="640"/>
      <c r="B30" s="640"/>
      <c r="C30" s="640"/>
      <c r="D30" s="640"/>
      <c r="E30" s="640"/>
      <c r="F30" s="640"/>
      <c r="G30" s="640"/>
      <c r="H30" s="640"/>
      <c r="I30" s="640"/>
      <c r="J30" s="640"/>
      <c r="K30" s="640"/>
      <c r="L30" s="640"/>
      <c r="M30" s="640"/>
      <c r="N30" s="640"/>
      <c r="O30" s="640"/>
      <c r="P30" s="640"/>
    </row>
    <row r="31" spans="1:16" hidden="1" x14ac:dyDescent="0.25">
      <c r="A31" s="640"/>
      <c r="B31" s="640"/>
      <c r="C31" s="640"/>
      <c r="D31" s="640"/>
      <c r="E31" s="640"/>
      <c r="F31" s="640"/>
      <c r="G31" s="640"/>
      <c r="H31" s="640"/>
      <c r="I31" s="640"/>
      <c r="J31" s="640"/>
      <c r="K31" s="640"/>
      <c r="L31" s="640"/>
      <c r="M31" s="640"/>
      <c r="N31" s="640"/>
      <c r="O31" s="640"/>
      <c r="P31" s="640"/>
    </row>
    <row r="32" spans="1:16" hidden="1" x14ac:dyDescent="0.25">
      <c r="A32" s="640"/>
      <c r="B32" s="640"/>
      <c r="C32" s="649">
        <v>199839.18749999997</v>
      </c>
      <c r="D32" s="649">
        <v>199839.18749999997</v>
      </c>
      <c r="E32" s="649">
        <v>199839.18749999997</v>
      </c>
      <c r="F32" s="649">
        <v>199839.18749999997</v>
      </c>
      <c r="G32" s="649">
        <v>199839.18749999997</v>
      </c>
      <c r="H32" s="649">
        <v>199839.18749999997</v>
      </c>
      <c r="I32" s="649">
        <v>199839.18749999997</v>
      </c>
      <c r="J32" s="649">
        <v>199839.18749999997</v>
      </c>
      <c r="K32" s="649">
        <v>199839.18749999997</v>
      </c>
      <c r="L32" s="649">
        <v>199839.18749999997</v>
      </c>
      <c r="M32" s="649">
        <v>199839.18749999997</v>
      </c>
      <c r="N32" s="649">
        <v>199839.18749999997</v>
      </c>
      <c r="O32" s="649">
        <f>SUM(C32:N32)</f>
        <v>2398070.2499999995</v>
      </c>
      <c r="P32" s="640"/>
    </row>
    <row r="33" spans="15:15" hidden="1" x14ac:dyDescent="0.25">
      <c r="O33" s="640"/>
    </row>
    <row r="34" spans="15:15" hidden="1" x14ac:dyDescent="0.25">
      <c r="O34" s="649">
        <f>O32-O27</f>
        <v>0</v>
      </c>
    </row>
    <row r="35" spans="15:15" hidden="1" x14ac:dyDescent="0.25">
      <c r="O35" s="640"/>
    </row>
    <row r="36" spans="15:15" x14ac:dyDescent="0.25">
      <c r="O36" s="640"/>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FF00"/>
  </sheetPr>
  <dimension ref="A1:O31"/>
  <sheetViews>
    <sheetView workbookViewId="0">
      <selection activeCell="O27" sqref="O27"/>
    </sheetView>
  </sheetViews>
  <sheetFormatPr baseColWidth="10" defaultRowHeight="12.75" x14ac:dyDescent="0.2"/>
  <cols>
    <col min="1" max="1" width="16.5703125" style="640" customWidth="1"/>
    <col min="2" max="2" width="9.28515625" style="640" bestFit="1" customWidth="1"/>
    <col min="3" max="14" width="9.7109375" style="640" customWidth="1"/>
    <col min="15" max="15" width="10.85546875" style="640" bestFit="1" customWidth="1"/>
    <col min="16" max="16384" width="11.42578125" style="640"/>
  </cols>
  <sheetData>
    <row r="1" spans="1:15" ht="15.75" x14ac:dyDescent="0.25">
      <c r="A1" s="1235" t="s">
        <v>277</v>
      </c>
      <c r="B1" s="1235"/>
      <c r="C1" s="1235"/>
      <c r="D1" s="1235"/>
      <c r="E1" s="1235"/>
      <c r="F1" s="1235"/>
      <c r="G1" s="1235"/>
      <c r="H1" s="1235"/>
      <c r="I1" s="1235"/>
      <c r="J1" s="1235"/>
      <c r="K1" s="1235"/>
      <c r="L1" s="1235"/>
      <c r="M1" s="1235"/>
      <c r="N1" s="1235"/>
      <c r="O1" s="1235"/>
    </row>
    <row r="2" spans="1:15" x14ac:dyDescent="0.2">
      <c r="A2" s="1236" t="s">
        <v>278</v>
      </c>
      <c r="B2" s="1236"/>
      <c r="C2" s="1236"/>
      <c r="D2" s="1236"/>
      <c r="E2" s="1236"/>
      <c r="F2" s="1236"/>
      <c r="G2" s="1236"/>
      <c r="H2" s="1236"/>
      <c r="I2" s="1236"/>
      <c r="J2" s="1236"/>
      <c r="K2" s="1236"/>
      <c r="L2" s="1236"/>
      <c r="M2" s="1236"/>
      <c r="N2" s="1236"/>
      <c r="O2" s="1236"/>
    </row>
    <row r="3" spans="1:15" x14ac:dyDescent="0.2">
      <c r="A3" s="1236" t="s">
        <v>279</v>
      </c>
      <c r="B3" s="1236"/>
      <c r="C3" s="1236"/>
      <c r="D3" s="1236"/>
      <c r="E3" s="1236"/>
      <c r="F3" s="1236"/>
      <c r="G3" s="1236"/>
      <c r="H3" s="1236"/>
      <c r="I3" s="1236"/>
      <c r="J3" s="1236"/>
      <c r="K3" s="1236"/>
      <c r="L3" s="1236"/>
      <c r="M3" s="1236"/>
      <c r="N3" s="1236"/>
      <c r="O3" s="1236"/>
    </row>
    <row r="4" spans="1:15" x14ac:dyDescent="0.2">
      <c r="A4" s="1237" t="s">
        <v>352</v>
      </c>
      <c r="B4" s="1237"/>
      <c r="C4" s="1237"/>
      <c r="D4" s="1237"/>
      <c r="E4" s="1237"/>
      <c r="F4" s="1237"/>
      <c r="G4" s="1237"/>
      <c r="H4" s="1237"/>
      <c r="I4" s="1237"/>
      <c r="J4" s="1237"/>
      <c r="K4" s="1237"/>
      <c r="L4" s="1237"/>
      <c r="M4" s="1237"/>
      <c r="N4" s="1237"/>
      <c r="O4" s="1237"/>
    </row>
    <row r="5" spans="1:15" ht="13.5" thickBot="1" x14ac:dyDescent="0.25"/>
    <row r="6" spans="1:15" ht="34.5" thickBot="1" x14ac:dyDescent="0.25">
      <c r="A6" s="641" t="s">
        <v>346</v>
      </c>
      <c r="B6" s="643" t="s">
        <v>510</v>
      </c>
      <c r="C6" s="641" t="s">
        <v>1</v>
      </c>
      <c r="D6" s="643" t="s">
        <v>2</v>
      </c>
      <c r="E6" s="641" t="s">
        <v>3</v>
      </c>
      <c r="F6" s="643" t="s">
        <v>4</v>
      </c>
      <c r="G6" s="641" t="s">
        <v>5</v>
      </c>
      <c r="H6" s="641" t="s">
        <v>6</v>
      </c>
      <c r="I6" s="641" t="s">
        <v>7</v>
      </c>
      <c r="J6" s="643" t="s">
        <v>8</v>
      </c>
      <c r="K6" s="641" t="s">
        <v>9</v>
      </c>
      <c r="L6" s="643" t="s">
        <v>10</v>
      </c>
      <c r="M6" s="641" t="s">
        <v>11</v>
      </c>
      <c r="N6" s="641" t="s">
        <v>12</v>
      </c>
      <c r="O6" s="644" t="s">
        <v>168</v>
      </c>
    </row>
    <row r="7" spans="1:15" x14ac:dyDescent="0.2">
      <c r="A7" s="645" t="s">
        <v>282</v>
      </c>
      <c r="B7" s="671">
        <f>FOCO!J8</f>
        <v>3.1012197296055257</v>
      </c>
      <c r="C7" s="672">
        <f>$C$27*B7/100</f>
        <v>52653.154398251318</v>
      </c>
      <c r="D7" s="673">
        <f>$D$27*B7/100</f>
        <v>81396.943124670463</v>
      </c>
      <c r="E7" s="672">
        <f>$E$27*B7/100</f>
        <v>43593.281627196047</v>
      </c>
      <c r="F7" s="673">
        <f>$F$27*B7/100</f>
        <v>79675.058166275179</v>
      </c>
      <c r="G7" s="672">
        <f>$G$27*B7/100</f>
        <v>62953.573984323666</v>
      </c>
      <c r="H7" s="672">
        <f>$H$27*B7/100</f>
        <v>80424.728726513596</v>
      </c>
      <c r="I7" s="674">
        <f>$I$27*B7/100</f>
        <v>59493.293793936456</v>
      </c>
      <c r="J7" s="673">
        <f>$J$27*B7/100</f>
        <v>72844.636132490748</v>
      </c>
      <c r="K7" s="672">
        <f>$K$27*B7/100</f>
        <v>80307.904538811432</v>
      </c>
      <c r="L7" s="673">
        <f>$L$27*B7/100</f>
        <v>56077.225987563463</v>
      </c>
      <c r="M7" s="672">
        <f>$M$27*B7/100</f>
        <v>76120.449260799491</v>
      </c>
      <c r="N7" s="672">
        <f>$N$27*B7/100</f>
        <v>119509.97439426002</v>
      </c>
      <c r="O7" s="675">
        <f>SUM(C7:N7)</f>
        <v>865050.22413509176</v>
      </c>
    </row>
    <row r="8" spans="1:15" x14ac:dyDescent="0.2">
      <c r="A8" s="645" t="s">
        <v>147</v>
      </c>
      <c r="B8" s="676">
        <f>FOCO!J9</f>
        <v>3.2708002668738683</v>
      </c>
      <c r="C8" s="672">
        <f t="shared" ref="C8:C26" si="0">$C$27*B8/100</f>
        <v>55532.328075140118</v>
      </c>
      <c r="D8" s="673">
        <f t="shared" ref="D8:D26" si="1">$D$27*B8/100</f>
        <v>85847.881320152053</v>
      </c>
      <c r="E8" s="672">
        <f t="shared" ref="E8:E26" si="2">$E$27*B8/100</f>
        <v>45977.044392877404</v>
      </c>
      <c r="F8" s="673">
        <f t="shared" ref="F8:F26" si="3">$F$27*B8/100</f>
        <v>84031.840448336196</v>
      </c>
      <c r="G8" s="672">
        <f t="shared" ref="G8:G26" si="4">$G$27*B8/100</f>
        <v>66395.994009357455</v>
      </c>
      <c r="H8" s="672">
        <f t="shared" ref="H8:H26" si="5">$H$27*B8/100</f>
        <v>84822.504407128668</v>
      </c>
      <c r="I8" s="672">
        <f t="shared" ref="I8:I26" si="6">$I$27*B8/100</f>
        <v>62746.499179264763</v>
      </c>
      <c r="J8" s="673">
        <f t="shared" ref="J8:J26" si="7">$J$27*B8/100</f>
        <v>76827.918069767722</v>
      </c>
      <c r="K8" s="672">
        <f t="shared" ref="K8:K26" si="8">$K$27*B8/100</f>
        <v>84699.292052755394</v>
      </c>
      <c r="L8" s="673">
        <f t="shared" ref="L8:L26" si="9">$L$27*B8/100</f>
        <v>59143.634349636821</v>
      </c>
      <c r="M8" s="672">
        <f t="shared" ref="M8:M26" si="10">$M$27*B8/100</f>
        <v>80282.858831306119</v>
      </c>
      <c r="N8" s="672">
        <f t="shared" ref="N8:N26" si="11">$N$27*B8/100</f>
        <v>126045.00494150937</v>
      </c>
      <c r="O8" s="675">
        <f t="shared" ref="O8:O26" si="12">SUM(C8:N8)</f>
        <v>912352.80007723207</v>
      </c>
    </row>
    <row r="9" spans="1:15" x14ac:dyDescent="0.2">
      <c r="A9" s="645" t="s">
        <v>148</v>
      </c>
      <c r="B9" s="676">
        <f>FOCO!J10</f>
        <v>3.8542395726001253</v>
      </c>
      <c r="C9" s="672">
        <f t="shared" si="0"/>
        <v>65438.082108995921</v>
      </c>
      <c r="D9" s="673">
        <f t="shared" si="1"/>
        <v>101161.26770536575</v>
      </c>
      <c r="E9" s="672">
        <f t="shared" si="2"/>
        <v>54178.344585861683</v>
      </c>
      <c r="F9" s="673">
        <f t="shared" si="3"/>
        <v>99021.284819678331</v>
      </c>
      <c r="G9" s="672">
        <f t="shared" si="4"/>
        <v>78239.588691722107</v>
      </c>
      <c r="H9" s="672">
        <f t="shared" si="5"/>
        <v>99952.985953945186</v>
      </c>
      <c r="I9" s="672">
        <f t="shared" si="6"/>
        <v>73939.103719710431</v>
      </c>
      <c r="J9" s="673">
        <f t="shared" si="7"/>
        <v>90532.340083240546</v>
      </c>
      <c r="K9" s="672">
        <f t="shared" si="8"/>
        <v>99807.795207549469</v>
      </c>
      <c r="L9" s="673">
        <f t="shared" si="9"/>
        <v>69693.566521453657</v>
      </c>
      <c r="M9" s="672">
        <f t="shared" si="10"/>
        <v>94603.56679157076</v>
      </c>
      <c r="N9" s="672">
        <f t="shared" si="11"/>
        <v>148528.67993632148</v>
      </c>
      <c r="O9" s="675">
        <f t="shared" si="12"/>
        <v>1075096.6061254153</v>
      </c>
    </row>
    <row r="10" spans="1:15" x14ac:dyDescent="0.2">
      <c r="A10" s="645" t="s">
        <v>283</v>
      </c>
      <c r="B10" s="676">
        <f>FOCO!J11</f>
        <v>10.827867411712226</v>
      </c>
      <c r="C10" s="672">
        <f t="shared" si="0"/>
        <v>183837.7878194387</v>
      </c>
      <c r="D10" s="673">
        <f t="shared" si="1"/>
        <v>284196.34360597888</v>
      </c>
      <c r="E10" s="672">
        <f t="shared" si="2"/>
        <v>152205.36261735653</v>
      </c>
      <c r="F10" s="673">
        <f t="shared" si="3"/>
        <v>278184.40519034868</v>
      </c>
      <c r="G10" s="672">
        <f t="shared" si="4"/>
        <v>219801.56571568659</v>
      </c>
      <c r="H10" s="672">
        <f t="shared" si="5"/>
        <v>280801.86997403821</v>
      </c>
      <c r="I10" s="672">
        <f t="shared" si="6"/>
        <v>207720.04348389915</v>
      </c>
      <c r="J10" s="673">
        <f t="shared" si="7"/>
        <v>254336.07756563593</v>
      </c>
      <c r="K10" s="672">
        <f t="shared" si="8"/>
        <v>280393.97987749189</v>
      </c>
      <c r="L10" s="673">
        <f t="shared" si="9"/>
        <v>195792.88820247367</v>
      </c>
      <c r="M10" s="672">
        <f t="shared" si="10"/>
        <v>265773.53550525289</v>
      </c>
      <c r="N10" s="672">
        <f t="shared" si="11"/>
        <v>417267.4850365317</v>
      </c>
      <c r="O10" s="675">
        <f t="shared" si="12"/>
        <v>3020311.3445941331</v>
      </c>
    </row>
    <row r="11" spans="1:15" x14ac:dyDescent="0.2">
      <c r="A11" s="645" t="s">
        <v>150</v>
      </c>
      <c r="B11" s="676">
        <f>FOCO!J12</f>
        <v>4.8642760218984451</v>
      </c>
      <c r="C11" s="672">
        <f t="shared" si="0"/>
        <v>82586.691285273366</v>
      </c>
      <c r="D11" s="673">
        <f t="shared" si="1"/>
        <v>127671.44324453562</v>
      </c>
      <c r="E11" s="672">
        <f t="shared" si="2"/>
        <v>68376.243228018036</v>
      </c>
      <c r="F11" s="673">
        <f t="shared" si="3"/>
        <v>124970.65953816628</v>
      </c>
      <c r="G11" s="672">
        <f t="shared" si="4"/>
        <v>98742.942172532508</v>
      </c>
      <c r="H11" s="672">
        <f t="shared" si="5"/>
        <v>126146.52092447145</v>
      </c>
      <c r="I11" s="672">
        <f t="shared" si="6"/>
        <v>93315.478327108154</v>
      </c>
      <c r="J11" s="673">
        <f t="shared" si="7"/>
        <v>114257.11421881845</v>
      </c>
      <c r="K11" s="672">
        <f t="shared" si="8"/>
        <v>125963.28170101607</v>
      </c>
      <c r="L11" s="673">
        <f t="shared" si="9"/>
        <v>87957.361789576316</v>
      </c>
      <c r="M11" s="672">
        <f t="shared" si="10"/>
        <v>119395.24071148051</v>
      </c>
      <c r="N11" s="672">
        <f t="shared" si="11"/>
        <v>187451.89103309397</v>
      </c>
      <c r="O11" s="675">
        <f t="shared" si="12"/>
        <v>1356834.8681740907</v>
      </c>
    </row>
    <row r="12" spans="1:15" x14ac:dyDescent="0.2">
      <c r="A12" s="645" t="s">
        <v>284</v>
      </c>
      <c r="B12" s="676">
        <f>FOCO!J13</f>
        <v>3.4706419063749485</v>
      </c>
      <c r="C12" s="672">
        <f t="shared" si="0"/>
        <v>58925.281047610886</v>
      </c>
      <c r="D12" s="673">
        <f t="shared" si="1"/>
        <v>91093.075141513254</v>
      </c>
      <c r="E12" s="672">
        <f t="shared" si="2"/>
        <v>48786.181968149867</v>
      </c>
      <c r="F12" s="673">
        <f t="shared" si="3"/>
        <v>89166.07653592799</v>
      </c>
      <c r="G12" s="672">
        <f t="shared" si="4"/>
        <v>70452.702831818111</v>
      </c>
      <c r="H12" s="672">
        <f t="shared" si="5"/>
        <v>90005.049033587798</v>
      </c>
      <c r="I12" s="672">
        <f t="shared" si="6"/>
        <v>66580.228617266243</v>
      </c>
      <c r="J12" s="673">
        <f t="shared" si="7"/>
        <v>81522.003875622016</v>
      </c>
      <c r="K12" s="672">
        <f t="shared" si="8"/>
        <v>89874.308564717838</v>
      </c>
      <c r="L12" s="673">
        <f t="shared" si="9"/>
        <v>62757.233435520597</v>
      </c>
      <c r="M12" s="672">
        <f t="shared" si="10"/>
        <v>85188.037021234617</v>
      </c>
      <c r="N12" s="672">
        <f t="shared" si="11"/>
        <v>133746.19070131972</v>
      </c>
      <c r="O12" s="675">
        <f t="shared" si="12"/>
        <v>968096.36877428892</v>
      </c>
    </row>
    <row r="13" spans="1:15" x14ac:dyDescent="0.2">
      <c r="A13" s="645" t="s">
        <v>152</v>
      </c>
      <c r="B13" s="676">
        <f>FOCO!J14</f>
        <v>3.7119397222843022</v>
      </c>
      <c r="C13" s="672">
        <f t="shared" si="0"/>
        <v>63022.085616390053</v>
      </c>
      <c r="D13" s="673">
        <f t="shared" si="1"/>
        <v>97426.358916984129</v>
      </c>
      <c r="E13" s="672">
        <f t="shared" si="2"/>
        <v>52178.061474314934</v>
      </c>
      <c r="F13" s="673">
        <f t="shared" si="3"/>
        <v>95365.384935277805</v>
      </c>
      <c r="G13" s="672">
        <f t="shared" si="4"/>
        <v>75350.956174233637</v>
      </c>
      <c r="H13" s="672">
        <f t="shared" si="5"/>
        <v>96262.687343298414</v>
      </c>
      <c r="I13" s="672">
        <f t="shared" si="6"/>
        <v>71209.246586127294</v>
      </c>
      <c r="J13" s="673">
        <f t="shared" si="7"/>
        <v>87189.854957466334</v>
      </c>
      <c r="K13" s="672">
        <f t="shared" si="8"/>
        <v>96122.85708918405</v>
      </c>
      <c r="L13" s="673">
        <f t="shared" si="9"/>
        <v>67120.456081074808</v>
      </c>
      <c r="M13" s="672">
        <f t="shared" si="10"/>
        <v>91110.770575817689</v>
      </c>
      <c r="N13" s="672">
        <f t="shared" si="11"/>
        <v>143044.95000090211</v>
      </c>
      <c r="O13" s="675">
        <f t="shared" si="12"/>
        <v>1035403.6697510711</v>
      </c>
    </row>
    <row r="14" spans="1:15" x14ac:dyDescent="0.2">
      <c r="A14" s="645" t="s">
        <v>153</v>
      </c>
      <c r="B14" s="676">
        <f>FOCO!J15</f>
        <v>2.9202501067459696</v>
      </c>
      <c r="C14" s="672">
        <f t="shared" si="0"/>
        <v>49580.61445441781</v>
      </c>
      <c r="D14" s="673">
        <f t="shared" si="1"/>
        <v>76647.078431572416</v>
      </c>
      <c r="E14" s="672">
        <f t="shared" si="2"/>
        <v>41049.424557033664</v>
      </c>
      <c r="F14" s="673">
        <f t="shared" si="3"/>
        <v>75025.672929229084</v>
      </c>
      <c r="G14" s="672">
        <f t="shared" si="4"/>
        <v>59279.959879252383</v>
      </c>
      <c r="H14" s="672">
        <f t="shared" si="5"/>
        <v>75731.596960558207</v>
      </c>
      <c r="I14" s="672">
        <f t="shared" si="6"/>
        <v>56021.602047047258</v>
      </c>
      <c r="J14" s="673">
        <f t="shared" si="7"/>
        <v>68593.835648284075</v>
      </c>
      <c r="K14" s="672">
        <f t="shared" si="8"/>
        <v>75621.589970937013</v>
      </c>
      <c r="L14" s="673">
        <f t="shared" si="9"/>
        <v>52804.876614476532</v>
      </c>
      <c r="M14" s="672">
        <f t="shared" si="10"/>
        <v>71678.490871614631</v>
      </c>
      <c r="N14" s="672">
        <f t="shared" si="11"/>
        <v>112536.04901012238</v>
      </c>
      <c r="O14" s="675">
        <f t="shared" si="12"/>
        <v>814570.79137454554</v>
      </c>
    </row>
    <row r="15" spans="1:15" x14ac:dyDescent="0.2">
      <c r="A15" s="645" t="s">
        <v>154</v>
      </c>
      <c r="B15" s="676">
        <f>FOCO!J16</f>
        <v>3.0057082759150693</v>
      </c>
      <c r="C15" s="672">
        <f t="shared" si="0"/>
        <v>51031.54104723451</v>
      </c>
      <c r="D15" s="673">
        <f t="shared" si="1"/>
        <v>78890.077748580006</v>
      </c>
      <c r="E15" s="672">
        <f t="shared" si="2"/>
        <v>42250.694496202726</v>
      </c>
      <c r="F15" s="673">
        <f t="shared" si="3"/>
        <v>77221.22345224781</v>
      </c>
      <c r="G15" s="672">
        <f t="shared" si="4"/>
        <v>61014.728017089568</v>
      </c>
      <c r="H15" s="672">
        <f t="shared" si="5"/>
        <v>77947.805637188663</v>
      </c>
      <c r="I15" s="672">
        <f t="shared" si="6"/>
        <v>57661.017634705699</v>
      </c>
      <c r="J15" s="673">
        <f t="shared" si="7"/>
        <v>70601.164951088344</v>
      </c>
      <c r="K15" s="672">
        <f t="shared" si="8"/>
        <v>77834.579404151606</v>
      </c>
      <c r="L15" s="673">
        <f t="shared" si="9"/>
        <v>54350.157982072051</v>
      </c>
      <c r="M15" s="672">
        <f t="shared" si="10"/>
        <v>73776.089493233332</v>
      </c>
      <c r="N15" s="672">
        <f t="shared" si="11"/>
        <v>115829.30279400648</v>
      </c>
      <c r="O15" s="675">
        <f t="shared" si="12"/>
        <v>838408.38265780103</v>
      </c>
    </row>
    <row r="16" spans="1:15" x14ac:dyDescent="0.2">
      <c r="A16" s="645" t="s">
        <v>155</v>
      </c>
      <c r="B16" s="676">
        <f>FOCO!J17</f>
        <v>3.4686366380201896</v>
      </c>
      <c r="C16" s="672">
        <f t="shared" si="0"/>
        <v>58891.235183886653</v>
      </c>
      <c r="D16" s="673">
        <f t="shared" si="1"/>
        <v>91040.443361615879</v>
      </c>
      <c r="E16" s="672">
        <f t="shared" si="2"/>
        <v>48757.994275645331</v>
      </c>
      <c r="F16" s="673">
        <f t="shared" si="3"/>
        <v>89114.558137770262</v>
      </c>
      <c r="G16" s="672">
        <f t="shared" si="4"/>
        <v>70411.996651432186</v>
      </c>
      <c r="H16" s="672">
        <f t="shared" si="5"/>
        <v>89953.045893689079</v>
      </c>
      <c r="I16" s="672">
        <f t="shared" si="6"/>
        <v>66541.759876007302</v>
      </c>
      <c r="J16" s="673">
        <f t="shared" si="7"/>
        <v>81474.902071691162</v>
      </c>
      <c r="K16" s="672">
        <f t="shared" si="8"/>
        <v>89822.380964080163</v>
      </c>
      <c r="L16" s="673">
        <f t="shared" si="9"/>
        <v>62720.973545380592</v>
      </c>
      <c r="M16" s="672">
        <f t="shared" si="10"/>
        <v>85138.817055749576</v>
      </c>
      <c r="N16" s="672">
        <f t="shared" si="11"/>
        <v>133668.91479357186</v>
      </c>
      <c r="O16" s="675">
        <f t="shared" si="12"/>
        <v>967537.02181051997</v>
      </c>
    </row>
    <row r="17" spans="1:15" x14ac:dyDescent="0.2">
      <c r="A17" s="645" t="s">
        <v>156</v>
      </c>
      <c r="B17" s="676">
        <f>FOCO!J18</f>
        <v>3.0018401196972491</v>
      </c>
      <c r="C17" s="672">
        <f t="shared" si="0"/>
        <v>50965.866685424829</v>
      </c>
      <c r="D17" s="673">
        <f t="shared" si="1"/>
        <v>78788.551214147927</v>
      </c>
      <c r="E17" s="672">
        <f t="shared" si="2"/>
        <v>42196.320527866446</v>
      </c>
      <c r="F17" s="673">
        <f t="shared" si="3"/>
        <v>77121.84462761668</v>
      </c>
      <c r="G17" s="672">
        <f t="shared" si="4"/>
        <v>60936.20592582439</v>
      </c>
      <c r="H17" s="672">
        <f t="shared" si="5"/>
        <v>77847.491747295571</v>
      </c>
      <c r="I17" s="672">
        <f t="shared" si="6"/>
        <v>57586.81155633249</v>
      </c>
      <c r="J17" s="673">
        <f t="shared" si="7"/>
        <v>70510.305722540041</v>
      </c>
      <c r="K17" s="672">
        <f t="shared" si="8"/>
        <v>77734.411229250487</v>
      </c>
      <c r="L17" s="673">
        <f t="shared" si="9"/>
        <v>54280.212770415113</v>
      </c>
      <c r="M17" s="672">
        <f t="shared" si="10"/>
        <v>73681.144337848018</v>
      </c>
      <c r="N17" s="672">
        <f t="shared" si="11"/>
        <v>115680.23781607811</v>
      </c>
      <c r="O17" s="675">
        <f t="shared" si="12"/>
        <v>837329.4041606402</v>
      </c>
    </row>
    <row r="18" spans="1:15" x14ac:dyDescent="0.2">
      <c r="A18" s="645" t="s">
        <v>157</v>
      </c>
      <c r="B18" s="676">
        <f>FOCO!J19</f>
        <v>2.8975625351725398</v>
      </c>
      <c r="C18" s="672">
        <f t="shared" si="0"/>
        <v>49195.42013955734</v>
      </c>
      <c r="D18" s="673">
        <f t="shared" si="1"/>
        <v>76051.603381749286</v>
      </c>
      <c r="E18" s="672">
        <f t="shared" si="2"/>
        <v>40730.509490295233</v>
      </c>
      <c r="F18" s="673">
        <f t="shared" si="3"/>
        <v>74442.794661201784</v>
      </c>
      <c r="G18" s="672">
        <f t="shared" si="4"/>
        <v>58819.410856576636</v>
      </c>
      <c r="H18" s="672">
        <f t="shared" si="5"/>
        <v>75143.234332835418</v>
      </c>
      <c r="I18" s="672">
        <f t="shared" si="6"/>
        <v>55586.367372056746</v>
      </c>
      <c r="J18" s="673">
        <f t="shared" si="7"/>
        <v>68060.926651150046</v>
      </c>
      <c r="K18" s="672">
        <f t="shared" si="8"/>
        <v>75034.08199311042</v>
      </c>
      <c r="L18" s="673">
        <f t="shared" si="9"/>
        <v>52394.632842941486</v>
      </c>
      <c r="M18" s="672">
        <f t="shared" si="10"/>
        <v>71121.617031196467</v>
      </c>
      <c r="N18" s="672">
        <f t="shared" si="11"/>
        <v>111661.75072292768</v>
      </c>
      <c r="O18" s="675">
        <f t="shared" si="12"/>
        <v>808242.34947559843</v>
      </c>
    </row>
    <row r="19" spans="1:15" x14ac:dyDescent="0.2">
      <c r="A19" s="645" t="s">
        <v>158</v>
      </c>
      <c r="B19" s="676">
        <f>FOCO!J20</f>
        <v>3.241687505378259</v>
      </c>
      <c r="C19" s="672">
        <f t="shared" si="0"/>
        <v>55038.045547735084</v>
      </c>
      <c r="D19" s="673">
        <f t="shared" si="1"/>
        <v>85083.765908064932</v>
      </c>
      <c r="E19" s="672">
        <f t="shared" si="2"/>
        <v>45567.811600144945</v>
      </c>
      <c r="F19" s="673">
        <f t="shared" si="3"/>
        <v>83283.889265322592</v>
      </c>
      <c r="G19" s="672">
        <f t="shared" si="4"/>
        <v>65805.016089539131</v>
      </c>
      <c r="H19" s="672">
        <f t="shared" si="5"/>
        <v>84067.515676916431</v>
      </c>
      <c r="I19" s="672">
        <f t="shared" si="6"/>
        <v>62188.00470811312</v>
      </c>
      <c r="J19" s="673">
        <f t="shared" si="7"/>
        <v>76144.087608573871</v>
      </c>
      <c r="K19" s="672">
        <f t="shared" si="8"/>
        <v>83945.400011913793</v>
      </c>
      <c r="L19" s="673">
        <f t="shared" si="9"/>
        <v>58617.208282523228</v>
      </c>
      <c r="M19" s="672">
        <f t="shared" si="10"/>
        <v>79568.27660963613</v>
      </c>
      <c r="N19" s="672">
        <f t="shared" si="11"/>
        <v>124923.10269521835</v>
      </c>
      <c r="O19" s="675">
        <f t="shared" si="12"/>
        <v>904232.12400370161</v>
      </c>
    </row>
    <row r="20" spans="1:15" x14ac:dyDescent="0.2">
      <c r="A20" s="645" t="s">
        <v>285</v>
      </c>
      <c r="B20" s="676">
        <f>FOCO!J21</f>
        <v>5.2410315169123853</v>
      </c>
      <c r="C20" s="672">
        <f t="shared" si="0"/>
        <v>88983.324538951885</v>
      </c>
      <c r="D20" s="673">
        <f t="shared" si="1"/>
        <v>137560.05104191267</v>
      </c>
      <c r="E20" s="672">
        <f t="shared" si="2"/>
        <v>73672.22668960446</v>
      </c>
      <c r="F20" s="673">
        <f t="shared" si="3"/>
        <v>134650.08202253107</v>
      </c>
      <c r="G20" s="672">
        <f t="shared" si="4"/>
        <v>106390.93457466312</v>
      </c>
      <c r="H20" s="672">
        <f t="shared" si="5"/>
        <v>135917.01805934351</v>
      </c>
      <c r="I20" s="672">
        <f t="shared" si="6"/>
        <v>100543.09433230991</v>
      </c>
      <c r="J20" s="673">
        <f t="shared" si="7"/>
        <v>123106.73447732812</v>
      </c>
      <c r="K20" s="672">
        <f t="shared" si="8"/>
        <v>135719.58630568875</v>
      </c>
      <c r="L20" s="673">
        <f t="shared" si="9"/>
        <v>94769.97259372611</v>
      </c>
      <c r="M20" s="672">
        <f t="shared" si="10"/>
        <v>128642.82715888905</v>
      </c>
      <c r="N20" s="672">
        <f t="shared" si="11"/>
        <v>201970.70733371773</v>
      </c>
      <c r="O20" s="675">
        <f t="shared" si="12"/>
        <v>1461926.5591286663</v>
      </c>
    </row>
    <row r="21" spans="1:15" x14ac:dyDescent="0.2">
      <c r="A21" s="645" t="s">
        <v>286</v>
      </c>
      <c r="B21" s="676">
        <f>FOCO!J22</f>
        <v>2.8936083217094719</v>
      </c>
      <c r="C21" s="672">
        <f t="shared" si="0"/>
        <v>49128.284679916418</v>
      </c>
      <c r="D21" s="673">
        <f t="shared" si="1"/>
        <v>75947.818124199315</v>
      </c>
      <c r="E21" s="672">
        <f t="shared" si="2"/>
        <v>40674.925830916312</v>
      </c>
      <c r="F21" s="673">
        <f t="shared" si="3"/>
        <v>74341.204894870767</v>
      </c>
      <c r="G21" s="672">
        <f t="shared" si="4"/>
        <v>58739.141836158429</v>
      </c>
      <c r="H21" s="672">
        <f t="shared" si="5"/>
        <v>75040.688698271682</v>
      </c>
      <c r="I21" s="672">
        <f t="shared" si="6"/>
        <v>55510.51038551805</v>
      </c>
      <c r="J21" s="673">
        <f t="shared" si="7"/>
        <v>67968.046021584334</v>
      </c>
      <c r="K21" s="672">
        <f t="shared" si="8"/>
        <v>74931.685315349532</v>
      </c>
      <c r="L21" s="673">
        <f t="shared" si="9"/>
        <v>52323.131517235779</v>
      </c>
      <c r="M21" s="672">
        <f t="shared" si="10"/>
        <v>71024.559572671889</v>
      </c>
      <c r="N21" s="672">
        <f t="shared" si="11"/>
        <v>111509.36940495482</v>
      </c>
      <c r="O21" s="675">
        <f t="shared" si="12"/>
        <v>807139.36628164724</v>
      </c>
    </row>
    <row r="22" spans="1:15" x14ac:dyDescent="0.2">
      <c r="A22" s="645" t="s">
        <v>287</v>
      </c>
      <c r="B22" s="676">
        <f>FOCO!J23</f>
        <v>5.7177624010736645</v>
      </c>
      <c r="C22" s="672">
        <f t="shared" si="0"/>
        <v>97077.360769448715</v>
      </c>
      <c r="D22" s="673">
        <f t="shared" si="1"/>
        <v>150072.68801935943</v>
      </c>
      <c r="E22" s="672">
        <f t="shared" si="2"/>
        <v>80373.546010911727</v>
      </c>
      <c r="F22" s="673">
        <f t="shared" si="3"/>
        <v>146898.02452160747</v>
      </c>
      <c r="G22" s="672">
        <f t="shared" si="4"/>
        <v>116068.38912590081</v>
      </c>
      <c r="H22" s="672">
        <f t="shared" si="5"/>
        <v>148280.20266964482</v>
      </c>
      <c r="I22" s="672">
        <f t="shared" si="6"/>
        <v>109688.62190692575</v>
      </c>
      <c r="J22" s="673">
        <f t="shared" si="7"/>
        <v>134304.6794208379</v>
      </c>
      <c r="K22" s="672">
        <f t="shared" si="8"/>
        <v>148064.81227289137</v>
      </c>
      <c r="L22" s="673">
        <f t="shared" si="9"/>
        <v>103390.36968173365</v>
      </c>
      <c r="M22" s="672">
        <f t="shared" si="10"/>
        <v>140344.34212489589</v>
      </c>
      <c r="N22" s="672">
        <f t="shared" si="11"/>
        <v>220342.21942464414</v>
      </c>
      <c r="O22" s="675">
        <f t="shared" si="12"/>
        <v>1594905.2559488015</v>
      </c>
    </row>
    <row r="23" spans="1:15" x14ac:dyDescent="0.2">
      <c r="A23" s="645" t="s">
        <v>162</v>
      </c>
      <c r="B23" s="676">
        <f>FOCO!J24</f>
        <v>3.0983141490256898</v>
      </c>
      <c r="C23" s="672">
        <f t="shared" si="0"/>
        <v>52603.822846079704</v>
      </c>
      <c r="D23" s="673">
        <f t="shared" si="1"/>
        <v>81320.68107366412</v>
      </c>
      <c r="E23" s="672">
        <f t="shared" si="2"/>
        <v>43552.438409510403</v>
      </c>
      <c r="F23" s="673">
        <f t="shared" si="3"/>
        <v>79600.409375834686</v>
      </c>
      <c r="G23" s="672">
        <f t="shared" si="4"/>
        <v>62894.591810228128</v>
      </c>
      <c r="H23" s="672">
        <f t="shared" si="5"/>
        <v>80349.37755816667</v>
      </c>
      <c r="I23" s="672">
        <f t="shared" si="6"/>
        <v>59437.553609702525</v>
      </c>
      <c r="J23" s="673">
        <f t="shared" si="7"/>
        <v>72776.3868697664</v>
      </c>
      <c r="K23" s="672">
        <f t="shared" si="8"/>
        <v>80232.662824847182</v>
      </c>
      <c r="L23" s="673">
        <f t="shared" si="9"/>
        <v>56024.686369926865</v>
      </c>
      <c r="M23" s="672">
        <f t="shared" si="10"/>
        <v>76049.130838248151</v>
      </c>
      <c r="N23" s="672">
        <f t="shared" si="11"/>
        <v>119398.00365662356</v>
      </c>
      <c r="O23" s="675">
        <f t="shared" si="12"/>
        <v>864239.74524259847</v>
      </c>
    </row>
    <row r="24" spans="1:15" x14ac:dyDescent="0.2">
      <c r="A24" s="645" t="s">
        <v>163</v>
      </c>
      <c r="B24" s="676">
        <f>FOCO!J25</f>
        <v>24.219218437611406</v>
      </c>
      <c r="C24" s="672">
        <f t="shared" si="0"/>
        <v>411198.93428600614</v>
      </c>
      <c r="D24" s="673">
        <f t="shared" si="1"/>
        <v>635675.80422332208</v>
      </c>
      <c r="E24" s="672">
        <f t="shared" si="2"/>
        <v>340445.14810166962</v>
      </c>
      <c r="F24" s="673">
        <f t="shared" si="3"/>
        <v>622228.60874287877</v>
      </c>
      <c r="G24" s="672">
        <f t="shared" si="4"/>
        <v>491640.86801053764</v>
      </c>
      <c r="H24" s="672">
        <f t="shared" si="5"/>
        <v>628083.21971459803</v>
      </c>
      <c r="I24" s="672">
        <f t="shared" si="6"/>
        <v>464617.53877453168</v>
      </c>
      <c r="J24" s="673">
        <f t="shared" si="7"/>
        <v>568885.89275340538</v>
      </c>
      <c r="K24" s="672">
        <f t="shared" si="8"/>
        <v>627170.87206836557</v>
      </c>
      <c r="L24" s="673">
        <f t="shared" si="9"/>
        <v>437939.48961522128</v>
      </c>
      <c r="M24" s="672">
        <f t="shared" si="10"/>
        <v>594468.61201638274</v>
      </c>
      <c r="N24" s="672">
        <f t="shared" si="11"/>
        <v>933322.50781730353</v>
      </c>
      <c r="O24" s="675">
        <f t="shared" si="12"/>
        <v>6755677.4961242229</v>
      </c>
    </row>
    <row r="25" spans="1:15" x14ac:dyDescent="0.2">
      <c r="A25" s="645" t="s">
        <v>164</v>
      </c>
      <c r="B25" s="676">
        <f>FOCO!J26</f>
        <v>2.931527964862414</v>
      </c>
      <c r="C25" s="672">
        <f t="shared" si="0"/>
        <v>49772.092278132754</v>
      </c>
      <c r="D25" s="673">
        <f t="shared" si="1"/>
        <v>76943.085569315313</v>
      </c>
      <c r="E25" s="672">
        <f t="shared" si="2"/>
        <v>41207.955357134131</v>
      </c>
      <c r="F25" s="673">
        <f t="shared" si="3"/>
        <v>75315.418280982354</v>
      </c>
      <c r="G25" s="672">
        <f t="shared" si="4"/>
        <v>59508.896084107684</v>
      </c>
      <c r="H25" s="672">
        <f t="shared" si="5"/>
        <v>76024.068555193167</v>
      </c>
      <c r="I25" s="672">
        <f t="shared" si="6"/>
        <v>56237.954638862255</v>
      </c>
      <c r="J25" s="673">
        <f t="shared" si="7"/>
        <v>68858.741569977909</v>
      </c>
      <c r="K25" s="672">
        <f t="shared" si="8"/>
        <v>75913.636724145588</v>
      </c>
      <c r="L25" s="673">
        <f t="shared" si="9"/>
        <v>53008.806375471555</v>
      </c>
      <c r="M25" s="672">
        <f t="shared" si="10"/>
        <v>71955.30957566452</v>
      </c>
      <c r="N25" s="672">
        <f t="shared" si="11"/>
        <v>112970.65753587487</v>
      </c>
      <c r="O25" s="675">
        <f t="shared" si="12"/>
        <v>817716.62254486198</v>
      </c>
    </row>
    <row r="26" spans="1:15" ht="13.5" thickBot="1" x14ac:dyDescent="0.25">
      <c r="A26" s="645" t="s">
        <v>165</v>
      </c>
      <c r="B26" s="677">
        <f>FOCO!J27</f>
        <v>4.2618673965262408</v>
      </c>
      <c r="C26" s="672">
        <f t="shared" si="0"/>
        <v>72358.872192107854</v>
      </c>
      <c r="D26" s="673">
        <f t="shared" si="1"/>
        <v>111860.1738432961</v>
      </c>
      <c r="E26" s="672">
        <f t="shared" si="2"/>
        <v>59908.294759289922</v>
      </c>
      <c r="F26" s="673">
        <f t="shared" si="3"/>
        <v>109493.86445389748</v>
      </c>
      <c r="G26" s="672">
        <f t="shared" si="4"/>
        <v>86514.277559016831</v>
      </c>
      <c r="H26" s="672">
        <f t="shared" si="5"/>
        <v>110524.10313331606</v>
      </c>
      <c r="I26" s="678">
        <f t="shared" si="6"/>
        <v>81758.969450573728</v>
      </c>
      <c r="J26" s="673">
        <f t="shared" si="7"/>
        <v>100107.12133073181</v>
      </c>
      <c r="K26" s="672">
        <f t="shared" si="8"/>
        <v>110363.55688374191</v>
      </c>
      <c r="L26" s="673">
        <f t="shared" si="9"/>
        <v>77064.42044157596</v>
      </c>
      <c r="M26" s="672">
        <f t="shared" si="10"/>
        <v>104608.92461650787</v>
      </c>
      <c r="N26" s="672">
        <f t="shared" si="11"/>
        <v>164237.20595101785</v>
      </c>
      <c r="O26" s="675">
        <f t="shared" si="12"/>
        <v>1188799.7846150731</v>
      </c>
    </row>
    <row r="27" spans="1:15" ht="13.5" thickBot="1" x14ac:dyDescent="0.25">
      <c r="A27" s="650" t="s">
        <v>288</v>
      </c>
      <c r="B27" s="679">
        <f>SUM(B7:B26)</f>
        <v>99.999999999999986</v>
      </c>
      <c r="C27" s="680">
        <f>' FOCO ESTIMACION'!C31</f>
        <v>1697820.8250000002</v>
      </c>
      <c r="D27" s="680">
        <f>' FOCO ESTIMACION'!D31</f>
        <v>2624675.1349999998</v>
      </c>
      <c r="E27" s="680">
        <f>' FOCO ESTIMACION'!E31</f>
        <v>1405681.8099999996</v>
      </c>
      <c r="F27" s="680">
        <f>' FOCO ESTIMACION'!F31</f>
        <v>2569152.3050000016</v>
      </c>
      <c r="G27" s="680">
        <f>' FOCO ESTIMACION'!G31</f>
        <v>2029961.7400000012</v>
      </c>
      <c r="H27" s="680">
        <f>' FOCO ESTIMACION'!H31</f>
        <v>2593325.7150000008</v>
      </c>
      <c r="I27" s="680">
        <f>' FOCO ESTIMACION'!I31</f>
        <v>1918383.6999999993</v>
      </c>
      <c r="J27" s="680">
        <f>' FOCO ESTIMACION'!J31</f>
        <v>2348902.7700000014</v>
      </c>
      <c r="K27" s="680">
        <f>' FOCO ESTIMACION'!K31</f>
        <v>2589558.6749999998</v>
      </c>
      <c r="L27" s="680">
        <f>' FOCO ESTIMACION'!L31</f>
        <v>1808231.3049999997</v>
      </c>
      <c r="M27" s="680">
        <f>' FOCO ESTIMACION'!M31</f>
        <v>2454532.6000000006</v>
      </c>
      <c r="N27" s="680">
        <f>' FOCO ESTIMACION'!N31</f>
        <v>3853644.2050000001</v>
      </c>
      <c r="O27" s="680">
        <f>SUM(C27:N27)</f>
        <v>27893870.785000004</v>
      </c>
    </row>
    <row r="28" spans="1:15" x14ac:dyDescent="0.2">
      <c r="A28" s="654" t="s">
        <v>289</v>
      </c>
      <c r="O28" s="649"/>
    </row>
    <row r="31" spans="1:15" x14ac:dyDescent="0.2">
      <c r="C31" s="649"/>
      <c r="D31" s="649"/>
      <c r="E31" s="649"/>
      <c r="F31" s="649"/>
      <c r="G31" s="649"/>
      <c r="H31" s="649"/>
      <c r="I31" s="649"/>
      <c r="J31" s="649"/>
      <c r="K31" s="649"/>
      <c r="L31" s="649"/>
      <c r="M31" s="649"/>
      <c r="N31" s="649"/>
      <c r="O31" s="649"/>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FFFF00"/>
  </sheetPr>
  <dimension ref="A1:T41"/>
  <sheetViews>
    <sheetView topLeftCell="B1" workbookViewId="0">
      <selection activeCell="C27" sqref="C27"/>
    </sheetView>
  </sheetViews>
  <sheetFormatPr baseColWidth="10" defaultRowHeight="12.75" x14ac:dyDescent="0.2"/>
  <cols>
    <col min="1" max="1" width="16.5703125" style="640" customWidth="1"/>
    <col min="2" max="2" width="9.28515625" style="640" bestFit="1" customWidth="1"/>
    <col min="3" max="3" width="12.7109375" style="640" bestFit="1" customWidth="1"/>
    <col min="4" max="14" width="11.85546875" style="640" bestFit="1" customWidth="1"/>
    <col min="15" max="15" width="13.7109375" style="640" bestFit="1" customWidth="1"/>
    <col min="16" max="16384" width="11.42578125" style="640"/>
  </cols>
  <sheetData>
    <row r="1" spans="1:15" ht="15.75" x14ac:dyDescent="0.25">
      <c r="A1" s="1235" t="s">
        <v>277</v>
      </c>
      <c r="B1" s="1235"/>
      <c r="C1" s="1235"/>
      <c r="D1" s="1235"/>
      <c r="E1" s="1235"/>
      <c r="F1" s="1235"/>
      <c r="G1" s="1235"/>
      <c r="H1" s="1235"/>
      <c r="I1" s="1235"/>
      <c r="J1" s="1235"/>
      <c r="K1" s="1235"/>
      <c r="L1" s="1235"/>
      <c r="M1" s="1235"/>
      <c r="N1" s="1235"/>
      <c r="O1" s="1235"/>
    </row>
    <row r="2" spans="1:15" x14ac:dyDescent="0.2">
      <c r="A2" s="1236" t="s">
        <v>278</v>
      </c>
      <c r="B2" s="1236"/>
      <c r="C2" s="1236"/>
      <c r="D2" s="1236"/>
      <c r="E2" s="1236"/>
      <c r="F2" s="1236"/>
      <c r="G2" s="1236"/>
      <c r="H2" s="1236"/>
      <c r="I2" s="1236"/>
      <c r="J2" s="1236"/>
      <c r="K2" s="1236"/>
      <c r="L2" s="1236"/>
      <c r="M2" s="1236"/>
      <c r="N2" s="1236"/>
      <c r="O2" s="1236"/>
    </row>
    <row r="3" spans="1:15" x14ac:dyDescent="0.2">
      <c r="A3" s="1236" t="s">
        <v>279</v>
      </c>
      <c r="B3" s="1236"/>
      <c r="C3" s="1236"/>
      <c r="D3" s="1236"/>
      <c r="E3" s="1236"/>
      <c r="F3" s="1236"/>
      <c r="G3" s="1236"/>
      <c r="H3" s="1236"/>
      <c r="I3" s="1236"/>
      <c r="J3" s="1236"/>
      <c r="K3" s="1236"/>
      <c r="L3" s="1236"/>
      <c r="M3" s="1236"/>
      <c r="N3" s="1236"/>
      <c r="O3" s="1236"/>
    </row>
    <row r="4" spans="1:15" x14ac:dyDescent="0.2">
      <c r="A4" s="1237" t="s">
        <v>352</v>
      </c>
      <c r="B4" s="1237"/>
      <c r="C4" s="1237"/>
      <c r="D4" s="1237"/>
      <c r="E4" s="1237"/>
      <c r="F4" s="1237"/>
      <c r="G4" s="1237"/>
      <c r="H4" s="1237"/>
      <c r="I4" s="1237"/>
      <c r="J4" s="1237"/>
      <c r="K4" s="1237"/>
      <c r="L4" s="1237"/>
      <c r="M4" s="1237"/>
      <c r="N4" s="1237"/>
      <c r="O4" s="1237"/>
    </row>
    <row r="5" spans="1:15" ht="13.5" thickBot="1" x14ac:dyDescent="0.25"/>
    <row r="6" spans="1:15" ht="23.25" thickBot="1" x14ac:dyDescent="0.25">
      <c r="A6" s="641" t="s">
        <v>346</v>
      </c>
      <c r="B6" s="642" t="s">
        <v>281</v>
      </c>
      <c r="C6" s="641" t="s">
        <v>1</v>
      </c>
      <c r="D6" s="643" t="s">
        <v>2</v>
      </c>
      <c r="E6" s="641" t="s">
        <v>3</v>
      </c>
      <c r="F6" s="643" t="s">
        <v>4</v>
      </c>
      <c r="G6" s="641" t="s">
        <v>5</v>
      </c>
      <c r="H6" s="641" t="s">
        <v>6</v>
      </c>
      <c r="I6" s="641" t="s">
        <v>7</v>
      </c>
      <c r="J6" s="643" t="s">
        <v>8</v>
      </c>
      <c r="K6" s="641" t="s">
        <v>9</v>
      </c>
      <c r="L6" s="643" t="s">
        <v>10</v>
      </c>
      <c r="M6" s="641" t="s">
        <v>11</v>
      </c>
      <c r="N6" s="641" t="s">
        <v>12</v>
      </c>
      <c r="O6" s="644" t="s">
        <v>168</v>
      </c>
    </row>
    <row r="7" spans="1:15" x14ac:dyDescent="0.2">
      <c r="A7" s="645" t="s">
        <v>282</v>
      </c>
      <c r="B7" s="656">
        <v>3.8100000000000002E-2</v>
      </c>
      <c r="C7" s="672">
        <f>$C$27*B7</f>
        <v>221149.74312000003</v>
      </c>
      <c r="D7" s="673">
        <f>$D$27*B7</f>
        <v>222516.22971900002</v>
      </c>
      <c r="E7" s="672">
        <f>$E$27*B7</f>
        <v>252825.77031900003</v>
      </c>
      <c r="F7" s="673">
        <f>$F$27*B7</f>
        <v>242573.30911199999</v>
      </c>
      <c r="G7" s="672">
        <f>$G$27*B7</f>
        <v>258898.84250100001</v>
      </c>
      <c r="H7" s="672">
        <f>$H$27*B7</f>
        <v>248735.24459100002</v>
      </c>
      <c r="I7" s="674">
        <f>$I$27*B7</f>
        <v>257861.19624000002</v>
      </c>
      <c r="J7" s="673">
        <f>$J$27*B7</f>
        <v>255959.026308</v>
      </c>
      <c r="K7" s="672">
        <f>$K$27*B7</f>
        <v>244192.50882000002</v>
      </c>
      <c r="L7" s="673">
        <f>$L$27*B7</f>
        <v>257063.79257700001</v>
      </c>
      <c r="M7" s="672">
        <f>$M$27*B7</f>
        <v>247583.00877000001</v>
      </c>
      <c r="N7" s="672">
        <f>$N$27*B7</f>
        <v>182239.87504200003</v>
      </c>
      <c r="O7" s="675">
        <f>SUM(C7:N7)</f>
        <v>2891598.547119</v>
      </c>
    </row>
    <row r="8" spans="1:15" x14ac:dyDescent="0.2">
      <c r="A8" s="645" t="s">
        <v>147</v>
      </c>
      <c r="B8" s="657">
        <v>1.6299999999999999E-2</v>
      </c>
      <c r="C8" s="672">
        <f t="shared" ref="C8:C26" si="0">$C$27*B8</f>
        <v>94612.619760000001</v>
      </c>
      <c r="D8" s="673">
        <f t="shared" ref="D8:D26" si="1">$D$27*B8</f>
        <v>95197.232136999999</v>
      </c>
      <c r="E8" s="672">
        <f t="shared" ref="E8:E26" si="2">$E$27*B8</f>
        <v>108164.305937</v>
      </c>
      <c r="F8" s="673">
        <f t="shared" ref="F8:F26" si="3">$F$27*B8</f>
        <v>103778.08237599998</v>
      </c>
      <c r="G8" s="672">
        <f t="shared" ref="G8:G26" si="4">$G$27*B8</f>
        <v>110762.49692299998</v>
      </c>
      <c r="H8" s="672">
        <f t="shared" ref="H8:H26" si="5">$H$27*B8</f>
        <v>106414.290993</v>
      </c>
      <c r="I8" s="672">
        <f t="shared" ref="I8:I26" si="6">$I$27*B8</f>
        <v>110318.56951999999</v>
      </c>
      <c r="J8" s="673">
        <f t="shared" ref="J8:J26" si="7">$J$27*B8</f>
        <v>109504.78028399998</v>
      </c>
      <c r="K8" s="672">
        <f t="shared" ref="K8:K26" si="8">$K$27*B8</f>
        <v>104470.81086</v>
      </c>
      <c r="L8" s="673">
        <f t="shared" ref="L8:L26" si="9">$L$27*B8</f>
        <v>109977.42307099998</v>
      </c>
      <c r="M8" s="672">
        <f t="shared" ref="M8:M26" si="10">$M$27*B8</f>
        <v>105921.33971</v>
      </c>
      <c r="N8" s="672">
        <f t="shared" ref="N8:N26" si="11">$N$27*B8</f>
        <v>77966.140765999997</v>
      </c>
      <c r="O8" s="675">
        <f t="shared" ref="O8:O26" si="12">SUM(C8:N8)</f>
        <v>1237088.0923369997</v>
      </c>
    </row>
    <row r="9" spans="1:15" x14ac:dyDescent="0.2">
      <c r="A9" s="645" t="s">
        <v>148</v>
      </c>
      <c r="B9" s="657">
        <v>1.32E-2</v>
      </c>
      <c r="C9" s="672">
        <f t="shared" si="0"/>
        <v>76618.808640000003</v>
      </c>
      <c r="D9" s="673">
        <f t="shared" si="1"/>
        <v>77092.237068000002</v>
      </c>
      <c r="E9" s="672">
        <f t="shared" si="2"/>
        <v>87593.180267999996</v>
      </c>
      <c r="F9" s="673">
        <f t="shared" si="3"/>
        <v>84041.14646399999</v>
      </c>
      <c r="G9" s="672">
        <f t="shared" si="4"/>
        <v>89697.236772000004</v>
      </c>
      <c r="H9" s="672">
        <f t="shared" si="5"/>
        <v>86175.990252000003</v>
      </c>
      <c r="I9" s="672">
        <f t="shared" si="6"/>
        <v>89337.737280000001</v>
      </c>
      <c r="J9" s="673">
        <f t="shared" si="7"/>
        <v>88678.71777599999</v>
      </c>
      <c r="K9" s="672">
        <f t="shared" si="8"/>
        <v>84602.12904</v>
      </c>
      <c r="L9" s="673">
        <f t="shared" si="9"/>
        <v>89061.471443999995</v>
      </c>
      <c r="M9" s="672">
        <f t="shared" si="10"/>
        <v>85776.790439999997</v>
      </c>
      <c r="N9" s="672">
        <f t="shared" si="11"/>
        <v>63138.224424</v>
      </c>
      <c r="O9" s="675">
        <f t="shared" si="12"/>
        <v>1001813.6698680001</v>
      </c>
    </row>
    <row r="10" spans="1:15" x14ac:dyDescent="0.2">
      <c r="A10" s="645" t="s">
        <v>283</v>
      </c>
      <c r="B10" s="657">
        <v>7.6399999999999996E-2</v>
      </c>
      <c r="C10" s="672">
        <f t="shared" si="0"/>
        <v>443460.37728000002</v>
      </c>
      <c r="D10" s="673">
        <f t="shared" si="1"/>
        <v>446200.523636</v>
      </c>
      <c r="E10" s="672">
        <f t="shared" si="2"/>
        <v>506978.710036</v>
      </c>
      <c r="F10" s="673">
        <f t="shared" si="3"/>
        <v>486419.96892799996</v>
      </c>
      <c r="G10" s="672">
        <f t="shared" si="4"/>
        <v>519156.73404399998</v>
      </c>
      <c r="H10" s="672">
        <f t="shared" si="5"/>
        <v>498776.18600400002</v>
      </c>
      <c r="I10" s="672">
        <f t="shared" si="6"/>
        <v>517075.99456000002</v>
      </c>
      <c r="J10" s="673">
        <f t="shared" si="7"/>
        <v>513261.66955199995</v>
      </c>
      <c r="K10" s="672">
        <f t="shared" si="8"/>
        <v>489666.86807999999</v>
      </c>
      <c r="L10" s="673">
        <f t="shared" si="9"/>
        <v>515477.00138799998</v>
      </c>
      <c r="M10" s="672">
        <f t="shared" si="10"/>
        <v>496465.66587999999</v>
      </c>
      <c r="N10" s="672">
        <f t="shared" si="11"/>
        <v>365436.38984800002</v>
      </c>
      <c r="O10" s="675">
        <f t="shared" si="12"/>
        <v>5798376.0892360015</v>
      </c>
    </row>
    <row r="11" spans="1:15" x14ac:dyDescent="0.2">
      <c r="A11" s="645" t="s">
        <v>150</v>
      </c>
      <c r="B11" s="657">
        <v>6.2E-2</v>
      </c>
      <c r="C11" s="672">
        <f t="shared" si="0"/>
        <v>359876.22240000003</v>
      </c>
      <c r="D11" s="673">
        <f t="shared" si="1"/>
        <v>362099.90138</v>
      </c>
      <c r="E11" s="672">
        <f t="shared" si="2"/>
        <v>411422.51338000002</v>
      </c>
      <c r="F11" s="673">
        <f t="shared" si="3"/>
        <v>394738.71823999996</v>
      </c>
      <c r="G11" s="672">
        <f t="shared" si="4"/>
        <v>421305.20302000002</v>
      </c>
      <c r="H11" s="672">
        <f t="shared" si="5"/>
        <v>404766.01482000004</v>
      </c>
      <c r="I11" s="672">
        <f t="shared" si="6"/>
        <v>419616.64480000001</v>
      </c>
      <c r="J11" s="673">
        <f t="shared" si="7"/>
        <v>416521.25016</v>
      </c>
      <c r="K11" s="672">
        <f t="shared" si="8"/>
        <v>397373.63640000002</v>
      </c>
      <c r="L11" s="673">
        <f t="shared" si="9"/>
        <v>418319.03253999999</v>
      </c>
      <c r="M11" s="672">
        <f t="shared" si="10"/>
        <v>402890.98540000001</v>
      </c>
      <c r="N11" s="672">
        <f t="shared" si="11"/>
        <v>296558.32683999999</v>
      </c>
      <c r="O11" s="675">
        <f t="shared" si="12"/>
        <v>4705488.4493800001</v>
      </c>
    </row>
    <row r="12" spans="1:15" x14ac:dyDescent="0.2">
      <c r="A12" s="645" t="s">
        <v>284</v>
      </c>
      <c r="B12" s="657">
        <v>7.2300000000000003E-2</v>
      </c>
      <c r="C12" s="672">
        <f t="shared" si="0"/>
        <v>419662.11096000002</v>
      </c>
      <c r="D12" s="673">
        <f t="shared" si="1"/>
        <v>422255.20757700002</v>
      </c>
      <c r="E12" s="672">
        <f t="shared" si="2"/>
        <v>479771.73737700004</v>
      </c>
      <c r="F12" s="673">
        <f t="shared" si="3"/>
        <v>460316.27949599997</v>
      </c>
      <c r="G12" s="672">
        <f t="shared" si="4"/>
        <v>491296.22868300002</v>
      </c>
      <c r="H12" s="672">
        <f t="shared" si="5"/>
        <v>472009.40115300007</v>
      </c>
      <c r="I12" s="672">
        <f t="shared" si="6"/>
        <v>489327.15192000003</v>
      </c>
      <c r="J12" s="673">
        <f t="shared" si="7"/>
        <v>485717.52236399997</v>
      </c>
      <c r="K12" s="672">
        <f t="shared" si="8"/>
        <v>463388.93406000006</v>
      </c>
      <c r="L12" s="673">
        <f t="shared" si="9"/>
        <v>487813.96859100001</v>
      </c>
      <c r="M12" s="672">
        <f t="shared" si="10"/>
        <v>469822.87491000001</v>
      </c>
      <c r="N12" s="672">
        <f t="shared" si="11"/>
        <v>345825.27468600002</v>
      </c>
      <c r="O12" s="675">
        <f t="shared" si="12"/>
        <v>5487206.6917770002</v>
      </c>
    </row>
    <row r="13" spans="1:15" x14ac:dyDescent="0.2">
      <c r="A13" s="645" t="s">
        <v>152</v>
      </c>
      <c r="B13" s="657">
        <v>0.02</v>
      </c>
      <c r="C13" s="672">
        <f t="shared" si="0"/>
        <v>116089.10400000001</v>
      </c>
      <c r="D13" s="673">
        <f t="shared" si="1"/>
        <v>116806.4198</v>
      </c>
      <c r="E13" s="672">
        <f t="shared" si="2"/>
        <v>132716.93979999999</v>
      </c>
      <c r="F13" s="673">
        <f t="shared" si="3"/>
        <v>127335.0704</v>
      </c>
      <c r="G13" s="672">
        <f t="shared" si="4"/>
        <v>135904.90419999999</v>
      </c>
      <c r="H13" s="672">
        <f t="shared" si="5"/>
        <v>130569.68220000001</v>
      </c>
      <c r="I13" s="672">
        <f t="shared" si="6"/>
        <v>135360.20800000001</v>
      </c>
      <c r="J13" s="673">
        <f t="shared" si="7"/>
        <v>134361.6936</v>
      </c>
      <c r="K13" s="672">
        <f t="shared" si="8"/>
        <v>128185.04400000001</v>
      </c>
      <c r="L13" s="673">
        <f t="shared" si="9"/>
        <v>134941.62340000001</v>
      </c>
      <c r="M13" s="672">
        <f t="shared" si="10"/>
        <v>129964.834</v>
      </c>
      <c r="N13" s="672">
        <f t="shared" si="11"/>
        <v>95663.976400000014</v>
      </c>
      <c r="O13" s="675">
        <f t="shared" si="12"/>
        <v>1517899.4998000001</v>
      </c>
    </row>
    <row r="14" spans="1:15" x14ac:dyDescent="0.2">
      <c r="A14" s="645" t="s">
        <v>153</v>
      </c>
      <c r="B14" s="657">
        <v>2.6700000000000002E-2</v>
      </c>
      <c r="C14" s="672">
        <f t="shared" si="0"/>
        <v>154978.95384</v>
      </c>
      <c r="D14" s="673">
        <f t="shared" si="1"/>
        <v>155936.57043300002</v>
      </c>
      <c r="E14" s="672">
        <f t="shared" si="2"/>
        <v>177177.11463300002</v>
      </c>
      <c r="F14" s="673">
        <f t="shared" si="3"/>
        <v>169992.31898399998</v>
      </c>
      <c r="G14" s="672">
        <f t="shared" si="4"/>
        <v>181433.04710700002</v>
      </c>
      <c r="H14" s="672">
        <f t="shared" si="5"/>
        <v>174310.52573700002</v>
      </c>
      <c r="I14" s="672">
        <f t="shared" si="6"/>
        <v>180705.87768000003</v>
      </c>
      <c r="J14" s="673">
        <f t="shared" si="7"/>
        <v>179372.86095599999</v>
      </c>
      <c r="K14" s="672">
        <f t="shared" si="8"/>
        <v>171127.03374000001</v>
      </c>
      <c r="L14" s="673">
        <f t="shared" si="9"/>
        <v>180147.067239</v>
      </c>
      <c r="M14" s="672">
        <f t="shared" si="10"/>
        <v>173503.05339000002</v>
      </c>
      <c r="N14" s="672">
        <f t="shared" si="11"/>
        <v>127711.40849400002</v>
      </c>
      <c r="O14" s="675">
        <f t="shared" si="12"/>
        <v>2026395.8322330003</v>
      </c>
    </row>
    <row r="15" spans="1:15" x14ac:dyDescent="0.2">
      <c r="A15" s="645" t="s">
        <v>154</v>
      </c>
      <c r="B15" s="657">
        <v>2.3E-2</v>
      </c>
      <c r="C15" s="672">
        <f t="shared" si="0"/>
        <v>133502.46960000001</v>
      </c>
      <c r="D15" s="673">
        <f t="shared" si="1"/>
        <v>134327.38277</v>
      </c>
      <c r="E15" s="672">
        <f t="shared" si="2"/>
        <v>152624.48076999999</v>
      </c>
      <c r="F15" s="673">
        <f t="shared" si="3"/>
        <v>146435.33095999999</v>
      </c>
      <c r="G15" s="672">
        <f t="shared" si="4"/>
        <v>156290.63983</v>
      </c>
      <c r="H15" s="672">
        <f t="shared" si="5"/>
        <v>150155.13453000001</v>
      </c>
      <c r="I15" s="672">
        <f t="shared" si="6"/>
        <v>155664.23920000001</v>
      </c>
      <c r="J15" s="673">
        <f t="shared" si="7"/>
        <v>154515.94764</v>
      </c>
      <c r="K15" s="672">
        <f t="shared" si="8"/>
        <v>147412.80059999999</v>
      </c>
      <c r="L15" s="673">
        <f t="shared" si="9"/>
        <v>155182.86690999998</v>
      </c>
      <c r="M15" s="672">
        <f t="shared" si="10"/>
        <v>149459.55910000001</v>
      </c>
      <c r="N15" s="672">
        <f t="shared" si="11"/>
        <v>110013.57286</v>
      </c>
      <c r="O15" s="675">
        <f t="shared" si="12"/>
        <v>1745584.4247699999</v>
      </c>
    </row>
    <row r="16" spans="1:15" x14ac:dyDescent="0.2">
      <c r="A16" s="645" t="s">
        <v>155</v>
      </c>
      <c r="B16" s="657">
        <v>2.3099999999999999E-2</v>
      </c>
      <c r="C16" s="672">
        <f t="shared" si="0"/>
        <v>134082.91511999999</v>
      </c>
      <c r="D16" s="673">
        <f t="shared" si="1"/>
        <v>134911.414869</v>
      </c>
      <c r="E16" s="672">
        <f t="shared" si="2"/>
        <v>153288.06546899999</v>
      </c>
      <c r="F16" s="673">
        <f t="shared" si="3"/>
        <v>147072.00631199998</v>
      </c>
      <c r="G16" s="672">
        <f t="shared" si="4"/>
        <v>156970.16435099998</v>
      </c>
      <c r="H16" s="672">
        <f t="shared" si="5"/>
        <v>150807.98294099999</v>
      </c>
      <c r="I16" s="672">
        <f t="shared" si="6"/>
        <v>156341.04024</v>
      </c>
      <c r="J16" s="673">
        <f t="shared" si="7"/>
        <v>155187.75610799997</v>
      </c>
      <c r="K16" s="672">
        <f t="shared" si="8"/>
        <v>148053.72581999999</v>
      </c>
      <c r="L16" s="673">
        <f t="shared" si="9"/>
        <v>155857.57502699998</v>
      </c>
      <c r="M16" s="672">
        <f t="shared" si="10"/>
        <v>150109.38326999999</v>
      </c>
      <c r="N16" s="672">
        <f t="shared" si="11"/>
        <v>110491.892742</v>
      </c>
      <c r="O16" s="675">
        <f t="shared" si="12"/>
        <v>1753173.9222690002</v>
      </c>
    </row>
    <row r="17" spans="1:15" x14ac:dyDescent="0.2">
      <c r="A17" s="645" t="s">
        <v>156</v>
      </c>
      <c r="B17" s="657">
        <v>5.0500000000000003E-2</v>
      </c>
      <c r="C17" s="672">
        <f t="shared" si="0"/>
        <v>293124.98760000005</v>
      </c>
      <c r="D17" s="673">
        <f t="shared" si="1"/>
        <v>294936.20999500004</v>
      </c>
      <c r="E17" s="672">
        <f t="shared" si="2"/>
        <v>335110.27299500001</v>
      </c>
      <c r="F17" s="673">
        <f t="shared" si="3"/>
        <v>321521.05275999999</v>
      </c>
      <c r="G17" s="672">
        <f t="shared" si="4"/>
        <v>343159.88310500002</v>
      </c>
      <c r="H17" s="672">
        <f t="shared" si="5"/>
        <v>329688.44755500002</v>
      </c>
      <c r="I17" s="672">
        <f t="shared" si="6"/>
        <v>341784.52520000003</v>
      </c>
      <c r="J17" s="673">
        <f t="shared" si="7"/>
        <v>339263.27633999998</v>
      </c>
      <c r="K17" s="672">
        <f t="shared" si="8"/>
        <v>323667.23610000004</v>
      </c>
      <c r="L17" s="673">
        <f t="shared" si="9"/>
        <v>340727.59908499999</v>
      </c>
      <c r="M17" s="672">
        <f t="shared" si="10"/>
        <v>328161.20585000003</v>
      </c>
      <c r="N17" s="672">
        <f t="shared" si="11"/>
        <v>241551.54041000002</v>
      </c>
      <c r="O17" s="675">
        <f t="shared" si="12"/>
        <v>3832696.2369949995</v>
      </c>
    </row>
    <row r="18" spans="1:15" x14ac:dyDescent="0.2">
      <c r="A18" s="645" t="s">
        <v>157</v>
      </c>
      <c r="B18" s="657">
        <v>2.58E-2</v>
      </c>
      <c r="C18" s="672">
        <f t="shared" si="0"/>
        <v>149754.94416000001</v>
      </c>
      <c r="D18" s="673">
        <f t="shared" si="1"/>
        <v>150680.28154200001</v>
      </c>
      <c r="E18" s="672">
        <f t="shared" si="2"/>
        <v>171204.852342</v>
      </c>
      <c r="F18" s="673">
        <f t="shared" si="3"/>
        <v>164262.24081599998</v>
      </c>
      <c r="G18" s="672">
        <f t="shared" si="4"/>
        <v>175317.32641800001</v>
      </c>
      <c r="H18" s="672">
        <f t="shared" si="5"/>
        <v>168434.89003800001</v>
      </c>
      <c r="I18" s="672">
        <f t="shared" si="6"/>
        <v>174614.66832</v>
      </c>
      <c r="J18" s="673">
        <f t="shared" si="7"/>
        <v>173326.58474399999</v>
      </c>
      <c r="K18" s="672">
        <f t="shared" si="8"/>
        <v>165358.70676</v>
      </c>
      <c r="L18" s="673">
        <f t="shared" si="9"/>
        <v>174074.69418600001</v>
      </c>
      <c r="M18" s="672">
        <f t="shared" si="10"/>
        <v>167654.63586000001</v>
      </c>
      <c r="N18" s="672">
        <f t="shared" si="11"/>
        <v>123406.52955600001</v>
      </c>
      <c r="O18" s="675">
        <f t="shared" si="12"/>
        <v>1958090.3547419996</v>
      </c>
    </row>
    <row r="19" spans="1:15" x14ac:dyDescent="0.2">
      <c r="A19" s="645" t="s">
        <v>158</v>
      </c>
      <c r="B19" s="657">
        <v>3.39E-2</v>
      </c>
      <c r="C19" s="672">
        <f t="shared" si="0"/>
        <v>196771.03128</v>
      </c>
      <c r="D19" s="673">
        <f t="shared" si="1"/>
        <v>197986.88156100002</v>
      </c>
      <c r="E19" s="672">
        <f t="shared" si="2"/>
        <v>224955.21296100001</v>
      </c>
      <c r="F19" s="673">
        <f t="shared" si="3"/>
        <v>215832.94432799998</v>
      </c>
      <c r="G19" s="672">
        <f t="shared" si="4"/>
        <v>230358.812619</v>
      </c>
      <c r="H19" s="672">
        <f t="shared" si="5"/>
        <v>221315.61132900001</v>
      </c>
      <c r="I19" s="672">
        <f t="shared" si="6"/>
        <v>229435.55256000001</v>
      </c>
      <c r="J19" s="673">
        <f t="shared" si="7"/>
        <v>227743.07065199999</v>
      </c>
      <c r="K19" s="672">
        <f t="shared" si="8"/>
        <v>217273.64958</v>
      </c>
      <c r="L19" s="673">
        <f t="shared" si="9"/>
        <v>228726.05166299999</v>
      </c>
      <c r="M19" s="672">
        <f t="shared" si="10"/>
        <v>220290.39363000001</v>
      </c>
      <c r="N19" s="672">
        <f t="shared" si="11"/>
        <v>162150.43999800002</v>
      </c>
      <c r="O19" s="675">
        <f t="shared" si="12"/>
        <v>2572839.6521609998</v>
      </c>
    </row>
    <row r="20" spans="1:15" x14ac:dyDescent="0.2">
      <c r="A20" s="645" t="s">
        <v>285</v>
      </c>
      <c r="B20" s="657">
        <v>8.2000000000000007E-3</v>
      </c>
      <c r="C20" s="672">
        <f t="shared" si="0"/>
        <v>47596.532640000005</v>
      </c>
      <c r="D20" s="673">
        <f t="shared" si="1"/>
        <v>47890.632118000009</v>
      </c>
      <c r="E20" s="672">
        <f t="shared" si="2"/>
        <v>54413.945318000005</v>
      </c>
      <c r="F20" s="673">
        <f t="shared" si="3"/>
        <v>52207.378863999998</v>
      </c>
      <c r="G20" s="672">
        <f t="shared" si="4"/>
        <v>55721.010722000006</v>
      </c>
      <c r="H20" s="672">
        <f t="shared" si="5"/>
        <v>53533.569702000008</v>
      </c>
      <c r="I20" s="672">
        <f t="shared" si="6"/>
        <v>55497.685280000005</v>
      </c>
      <c r="J20" s="673">
        <f t="shared" si="7"/>
        <v>55088.294376000005</v>
      </c>
      <c r="K20" s="672">
        <f t="shared" si="8"/>
        <v>52555.868040000008</v>
      </c>
      <c r="L20" s="673">
        <f t="shared" si="9"/>
        <v>55326.065594000007</v>
      </c>
      <c r="M20" s="672">
        <f t="shared" si="10"/>
        <v>53285.581940000004</v>
      </c>
      <c r="N20" s="672">
        <f t="shared" si="11"/>
        <v>39222.230324000004</v>
      </c>
      <c r="O20" s="675">
        <f t="shared" si="12"/>
        <v>622338.79491800012</v>
      </c>
    </row>
    <row r="21" spans="1:15" x14ac:dyDescent="0.2">
      <c r="A21" s="645" t="s">
        <v>286</v>
      </c>
      <c r="B21" s="657">
        <v>2.2700000000000001E-2</v>
      </c>
      <c r="C21" s="672">
        <f t="shared" si="0"/>
        <v>131761.13304000002</v>
      </c>
      <c r="D21" s="673">
        <f t="shared" si="1"/>
        <v>132575.28647300001</v>
      </c>
      <c r="E21" s="672">
        <f t="shared" si="2"/>
        <v>150633.72667300003</v>
      </c>
      <c r="F21" s="673">
        <f t="shared" si="3"/>
        <v>144525.30490399999</v>
      </c>
      <c r="G21" s="672">
        <f t="shared" si="4"/>
        <v>154252.06626700002</v>
      </c>
      <c r="H21" s="672">
        <f t="shared" si="5"/>
        <v>148196.58929700003</v>
      </c>
      <c r="I21" s="672">
        <f t="shared" si="6"/>
        <v>153633.83608000001</v>
      </c>
      <c r="J21" s="673">
        <f t="shared" si="7"/>
        <v>152500.52223599999</v>
      </c>
      <c r="K21" s="672">
        <f t="shared" si="8"/>
        <v>145490.02494</v>
      </c>
      <c r="L21" s="673">
        <f t="shared" si="9"/>
        <v>153158.74255900001</v>
      </c>
      <c r="M21" s="672">
        <f t="shared" si="10"/>
        <v>147510.08659000002</v>
      </c>
      <c r="N21" s="672">
        <f t="shared" si="11"/>
        <v>108578.61321400001</v>
      </c>
      <c r="O21" s="675">
        <f t="shared" si="12"/>
        <v>1722815.932273</v>
      </c>
    </row>
    <row r="22" spans="1:15" x14ac:dyDescent="0.2">
      <c r="A22" s="645" t="s">
        <v>287</v>
      </c>
      <c r="B22" s="657">
        <v>8.5900000000000004E-2</v>
      </c>
      <c r="C22" s="672">
        <f t="shared" si="0"/>
        <v>498602.70168000006</v>
      </c>
      <c r="D22" s="673">
        <f t="shared" si="1"/>
        <v>501683.57304100005</v>
      </c>
      <c r="E22" s="672">
        <f t="shared" si="2"/>
        <v>570019.25644100003</v>
      </c>
      <c r="F22" s="673">
        <f t="shared" si="3"/>
        <v>546904.12736799999</v>
      </c>
      <c r="G22" s="672">
        <f t="shared" si="4"/>
        <v>583711.563539</v>
      </c>
      <c r="H22" s="672">
        <f t="shared" si="5"/>
        <v>560796.78504900006</v>
      </c>
      <c r="I22" s="672">
        <f t="shared" si="6"/>
        <v>581372.09336000006</v>
      </c>
      <c r="J22" s="673">
        <f t="shared" si="7"/>
        <v>577083.47401200002</v>
      </c>
      <c r="K22" s="672">
        <f t="shared" si="8"/>
        <v>550554.76398000005</v>
      </c>
      <c r="L22" s="673">
        <f t="shared" si="9"/>
        <v>579574.27250299999</v>
      </c>
      <c r="M22" s="672">
        <f t="shared" si="10"/>
        <v>558198.96203000005</v>
      </c>
      <c r="N22" s="672">
        <f t="shared" si="11"/>
        <v>410876.77863800002</v>
      </c>
      <c r="O22" s="675">
        <f t="shared" si="12"/>
        <v>6519378.3516409993</v>
      </c>
    </row>
    <row r="23" spans="1:15" x14ac:dyDescent="0.2">
      <c r="A23" s="645" t="s">
        <v>162</v>
      </c>
      <c r="B23" s="657">
        <v>4.5499999999999999E-2</v>
      </c>
      <c r="C23" s="672">
        <f t="shared" si="0"/>
        <v>264102.71159999998</v>
      </c>
      <c r="D23" s="673">
        <f t="shared" si="1"/>
        <v>265734.60504499997</v>
      </c>
      <c r="E23" s="672">
        <f t="shared" si="2"/>
        <v>301931.03804499999</v>
      </c>
      <c r="F23" s="673">
        <f t="shared" si="3"/>
        <v>289687.28515999997</v>
      </c>
      <c r="G23" s="672">
        <f t="shared" si="4"/>
        <v>309183.65705500002</v>
      </c>
      <c r="H23" s="672">
        <f t="shared" si="5"/>
        <v>297046.02700499998</v>
      </c>
      <c r="I23" s="672">
        <f t="shared" si="6"/>
        <v>307944.47320000001</v>
      </c>
      <c r="J23" s="673">
        <f t="shared" si="7"/>
        <v>305672.85293999995</v>
      </c>
      <c r="K23" s="672">
        <f t="shared" si="8"/>
        <v>291620.97509999998</v>
      </c>
      <c r="L23" s="673">
        <f t="shared" si="9"/>
        <v>306992.19323500001</v>
      </c>
      <c r="M23" s="672">
        <f t="shared" si="10"/>
        <v>295669.99735000002</v>
      </c>
      <c r="N23" s="672">
        <f t="shared" si="11"/>
        <v>217635.54631000001</v>
      </c>
      <c r="O23" s="675">
        <f t="shared" si="12"/>
        <v>3453221.3620450003</v>
      </c>
    </row>
    <row r="24" spans="1:15" x14ac:dyDescent="0.2">
      <c r="A24" s="645" t="s">
        <v>163</v>
      </c>
      <c r="B24" s="657">
        <v>0.29020000000000001</v>
      </c>
      <c r="C24" s="672">
        <f t="shared" si="0"/>
        <v>1684452.89904</v>
      </c>
      <c r="D24" s="673">
        <f t="shared" si="1"/>
        <v>1694861.1512980002</v>
      </c>
      <c r="E24" s="672">
        <f t="shared" si="2"/>
        <v>1925722.7964980002</v>
      </c>
      <c r="F24" s="673">
        <f t="shared" si="3"/>
        <v>1847631.8715039999</v>
      </c>
      <c r="G24" s="672">
        <f t="shared" si="4"/>
        <v>1971980.1599420002</v>
      </c>
      <c r="H24" s="672">
        <f t="shared" si="5"/>
        <v>1894566.0887220001</v>
      </c>
      <c r="I24" s="672">
        <f t="shared" si="6"/>
        <v>1964076.6180800002</v>
      </c>
      <c r="J24" s="673">
        <f t="shared" si="7"/>
        <v>1949588.174136</v>
      </c>
      <c r="K24" s="672">
        <f t="shared" si="8"/>
        <v>1859964.9884400002</v>
      </c>
      <c r="L24" s="673">
        <f t="shared" si="9"/>
        <v>1958002.9555340002</v>
      </c>
      <c r="M24" s="672">
        <f t="shared" si="10"/>
        <v>1885789.7413400002</v>
      </c>
      <c r="N24" s="672">
        <f t="shared" si="11"/>
        <v>1388084.2975640001</v>
      </c>
      <c r="O24" s="675">
        <f t="shared" si="12"/>
        <v>22024721.742098</v>
      </c>
    </row>
    <row r="25" spans="1:15" x14ac:dyDescent="0.2">
      <c r="A25" s="645" t="s">
        <v>164</v>
      </c>
      <c r="B25" s="657">
        <v>2.7300000000000001E-2</v>
      </c>
      <c r="C25" s="672">
        <f t="shared" si="0"/>
        <v>158461.62696000002</v>
      </c>
      <c r="D25" s="673">
        <f t="shared" si="1"/>
        <v>159440.76302700001</v>
      </c>
      <c r="E25" s="672">
        <f t="shared" si="2"/>
        <v>181158.62282700001</v>
      </c>
      <c r="F25" s="673">
        <f t="shared" si="3"/>
        <v>173812.37109599999</v>
      </c>
      <c r="G25" s="672">
        <f t="shared" si="4"/>
        <v>185510.19423300002</v>
      </c>
      <c r="H25" s="672">
        <f t="shared" si="5"/>
        <v>178227.61620300001</v>
      </c>
      <c r="I25" s="672">
        <f t="shared" si="6"/>
        <v>184766.68392000001</v>
      </c>
      <c r="J25" s="673">
        <f t="shared" si="7"/>
        <v>183403.71176400001</v>
      </c>
      <c r="K25" s="672">
        <f t="shared" si="8"/>
        <v>174972.58506000001</v>
      </c>
      <c r="L25" s="673">
        <f t="shared" si="9"/>
        <v>184195.31594100001</v>
      </c>
      <c r="M25" s="672">
        <f t="shared" si="10"/>
        <v>177401.99841</v>
      </c>
      <c r="N25" s="672">
        <f t="shared" si="11"/>
        <v>130581.32778600001</v>
      </c>
      <c r="O25" s="675">
        <f t="shared" si="12"/>
        <v>2071932.8172269999</v>
      </c>
    </row>
    <row r="26" spans="1:15" ht="13.5" thickBot="1" x14ac:dyDescent="0.25">
      <c r="A26" s="645" t="s">
        <v>165</v>
      </c>
      <c r="B26" s="658">
        <v>3.8899999999999997E-2</v>
      </c>
      <c r="C26" s="672">
        <f t="shared" si="0"/>
        <v>225793.30727999998</v>
      </c>
      <c r="D26" s="673">
        <f t="shared" si="1"/>
        <v>227188.486511</v>
      </c>
      <c r="E26" s="672">
        <f t="shared" si="2"/>
        <v>258134.447911</v>
      </c>
      <c r="F26" s="673">
        <f t="shared" si="3"/>
        <v>247666.71192799998</v>
      </c>
      <c r="G26" s="672">
        <f t="shared" si="4"/>
        <v>264335.03866899997</v>
      </c>
      <c r="H26" s="672">
        <f t="shared" si="5"/>
        <v>253958.03187899999</v>
      </c>
      <c r="I26" s="678">
        <f t="shared" si="6"/>
        <v>263275.60456000001</v>
      </c>
      <c r="J26" s="673">
        <f t="shared" si="7"/>
        <v>261333.49405199997</v>
      </c>
      <c r="K26" s="672">
        <f t="shared" si="8"/>
        <v>249319.91058</v>
      </c>
      <c r="L26" s="673">
        <f t="shared" si="9"/>
        <v>262461.457513</v>
      </c>
      <c r="M26" s="672">
        <f t="shared" si="10"/>
        <v>252781.60212999998</v>
      </c>
      <c r="N26" s="672">
        <f t="shared" si="11"/>
        <v>186066.434098</v>
      </c>
      <c r="O26" s="675">
        <f t="shared" si="12"/>
        <v>2952314.5271109995</v>
      </c>
    </row>
    <row r="27" spans="1:15" ht="13.5" thickBot="1" x14ac:dyDescent="0.25">
      <c r="A27" s="650" t="s">
        <v>288</v>
      </c>
      <c r="B27" s="651">
        <f>SUM(B7:B26)</f>
        <v>1</v>
      </c>
      <c r="C27" s="680">
        <f>'X22.55 POE'!B74</f>
        <v>5804455.2000000002</v>
      </c>
      <c r="D27" s="680">
        <f>'X22.55 POE'!C74</f>
        <v>5840320.9900000002</v>
      </c>
      <c r="E27" s="680">
        <f>'X22.55 POE'!D74</f>
        <v>6635846.9900000002</v>
      </c>
      <c r="F27" s="680">
        <f>'X22.55 POE'!E74</f>
        <v>6366753.5199999996</v>
      </c>
      <c r="G27" s="680">
        <f>'X22.55 POE'!F74</f>
        <v>6795245.21</v>
      </c>
      <c r="H27" s="680">
        <f>'X22.55 POE'!G74</f>
        <v>6528484.1100000003</v>
      </c>
      <c r="I27" s="680">
        <f>'X22.55 POE'!H74</f>
        <v>6768010.4000000004</v>
      </c>
      <c r="J27" s="680">
        <f>'X22.55 POE'!I74</f>
        <v>6718084.6799999997</v>
      </c>
      <c r="K27" s="680">
        <f>'X22.55 POE'!J74</f>
        <v>6409252.2000000002</v>
      </c>
      <c r="L27" s="680">
        <f>'X22.55 POE'!K74</f>
        <v>6747081.1699999999</v>
      </c>
      <c r="M27" s="680">
        <f>'X22.55 POE'!L74</f>
        <v>6498241.7000000002</v>
      </c>
      <c r="N27" s="680">
        <f>'X22.55 POE'!M74</f>
        <v>4783198.82</v>
      </c>
      <c r="O27" s="680">
        <f>SUM(C27:N27)</f>
        <v>75894974.99000001</v>
      </c>
    </row>
    <row r="28" spans="1:15" x14ac:dyDescent="0.2">
      <c r="A28" s="654" t="s">
        <v>289</v>
      </c>
      <c r="O28" s="649"/>
    </row>
    <row r="30" spans="1:15" x14ac:dyDescent="0.2">
      <c r="C30" s="649">
        <f>'X22.55 POE'!B73</f>
        <v>7502276.0250000004</v>
      </c>
      <c r="D30" s="649">
        <f>'X22.55 POE'!C73</f>
        <v>8464996.125</v>
      </c>
      <c r="E30" s="649">
        <f>'X22.55 POE'!D73</f>
        <v>8041528.7999999998</v>
      </c>
      <c r="F30" s="649">
        <f>'X22.55 POE'!E73</f>
        <v>8935905.8250000011</v>
      </c>
      <c r="G30" s="649">
        <f>'X22.55 POE'!F73</f>
        <v>8825206.9500000011</v>
      </c>
      <c r="H30" s="649">
        <f>'X22.55 POE'!G73</f>
        <v>9121809.8250000011</v>
      </c>
      <c r="I30" s="649">
        <f>'X22.55 POE'!H73</f>
        <v>8686394.0999999996</v>
      </c>
      <c r="J30" s="649">
        <f>'X22.55 POE'!I73</f>
        <v>9066987.4500000011</v>
      </c>
      <c r="K30" s="649">
        <f>'X22.55 POE'!J73</f>
        <v>8998810.875</v>
      </c>
      <c r="L30" s="649">
        <f>'X22.55 POE'!K73</f>
        <v>8555312.4749999996</v>
      </c>
      <c r="M30" s="649">
        <f>'X22.55 POE'!L73</f>
        <v>8952774.3000000007</v>
      </c>
      <c r="N30" s="649">
        <f>'X22.55 POE'!M73</f>
        <v>8636843.0250000004</v>
      </c>
      <c r="O30" s="649">
        <f>SUM(C30:N30)</f>
        <v>103788845.77500001</v>
      </c>
    </row>
    <row r="31" spans="1:15" x14ac:dyDescent="0.2">
      <c r="C31" s="649">
        <f t="shared" ref="C31:O31" si="13">C30-C27</f>
        <v>1697820.8250000002</v>
      </c>
      <c r="D31" s="649">
        <f t="shared" si="13"/>
        <v>2624675.1349999998</v>
      </c>
      <c r="E31" s="649">
        <f t="shared" si="13"/>
        <v>1405681.8099999996</v>
      </c>
      <c r="F31" s="649">
        <f t="shared" si="13"/>
        <v>2569152.3050000016</v>
      </c>
      <c r="G31" s="649">
        <f t="shared" si="13"/>
        <v>2029961.7400000012</v>
      </c>
      <c r="H31" s="649">
        <f t="shared" si="13"/>
        <v>2593325.7150000008</v>
      </c>
      <c r="I31" s="649">
        <f t="shared" si="13"/>
        <v>1918383.6999999993</v>
      </c>
      <c r="J31" s="649">
        <f t="shared" si="13"/>
        <v>2348902.7700000014</v>
      </c>
      <c r="K31" s="649">
        <f t="shared" si="13"/>
        <v>2589558.6749999998</v>
      </c>
      <c r="L31" s="649">
        <f t="shared" si="13"/>
        <v>1808231.3049999997</v>
      </c>
      <c r="M31" s="649">
        <f t="shared" si="13"/>
        <v>2454532.6000000006</v>
      </c>
      <c r="N31" s="649">
        <f t="shared" si="13"/>
        <v>3853644.2050000001</v>
      </c>
      <c r="O31" s="649">
        <f t="shared" si="13"/>
        <v>27893870.784999996</v>
      </c>
    </row>
    <row r="36" spans="3:20" x14ac:dyDescent="0.2">
      <c r="D36" s="640">
        <v>221149.74</v>
      </c>
    </row>
    <row r="39" spans="3:20" x14ac:dyDescent="0.2">
      <c r="C39" s="946">
        <v>24207107</v>
      </c>
      <c r="D39" s="946">
        <v>24356683</v>
      </c>
      <c r="E39" s="946">
        <v>27674373</v>
      </c>
      <c r="F39" s="946">
        <v>26552136</v>
      </c>
      <c r="G39" s="946">
        <v>28339133</v>
      </c>
      <c r="H39" s="946">
        <v>27226623</v>
      </c>
      <c r="I39" s="946">
        <v>28225552</v>
      </c>
      <c r="J39" s="946">
        <v>28017340</v>
      </c>
      <c r="K39" s="946">
        <v>26729374</v>
      </c>
      <c r="L39" s="946">
        <v>28138268</v>
      </c>
      <c r="M39" s="946">
        <v>27100499</v>
      </c>
      <c r="N39" s="946">
        <v>19948023</v>
      </c>
      <c r="O39" s="946">
        <f>SUM(C39:N39)</f>
        <v>316515111</v>
      </c>
      <c r="P39" s="1238" t="s">
        <v>523</v>
      </c>
      <c r="Q39" s="1238"/>
      <c r="R39" s="1238"/>
      <c r="S39" s="1238"/>
      <c r="T39" s="1238"/>
    </row>
    <row r="40" spans="3:20" x14ac:dyDescent="0.2">
      <c r="C40" s="947">
        <v>0.22500000000000001</v>
      </c>
      <c r="D40" s="947">
        <v>0.22500000000000001</v>
      </c>
      <c r="E40" s="947">
        <v>0.22500000000000001</v>
      </c>
      <c r="F40" s="947">
        <v>0.22500000000000001</v>
      </c>
      <c r="G40" s="947">
        <v>0.22500000000000001</v>
      </c>
      <c r="H40" s="947">
        <v>0.22500000000000001</v>
      </c>
      <c r="I40" s="947">
        <v>0.22500000000000001</v>
      </c>
      <c r="J40" s="947">
        <v>0.22500000000000001</v>
      </c>
      <c r="K40" s="947">
        <v>0.22500000000000001</v>
      </c>
      <c r="L40" s="947">
        <v>0.22500000000000001</v>
      </c>
      <c r="M40" s="947">
        <v>0.22500000000000001</v>
      </c>
      <c r="N40" s="947">
        <v>0.22500000000000001</v>
      </c>
      <c r="O40" s="948"/>
      <c r="P40" s="1238"/>
      <c r="Q40" s="1238"/>
      <c r="R40" s="1238"/>
      <c r="S40" s="1238"/>
      <c r="T40" s="1238"/>
    </row>
    <row r="41" spans="3:20" x14ac:dyDescent="0.2">
      <c r="C41" s="739">
        <f>C39*C40</f>
        <v>5446599.0750000002</v>
      </c>
      <c r="D41" s="739">
        <f t="shared" ref="D41:N41" si="14">D39*D40</f>
        <v>5480253.6749999998</v>
      </c>
      <c r="E41" s="739">
        <f t="shared" si="14"/>
        <v>6226733.9249999998</v>
      </c>
      <c r="F41" s="739">
        <f t="shared" si="14"/>
        <v>5974230.6000000006</v>
      </c>
      <c r="G41" s="739">
        <f t="shared" si="14"/>
        <v>6376304.9249999998</v>
      </c>
      <c r="H41" s="739">
        <f t="shared" si="14"/>
        <v>6125990.1749999998</v>
      </c>
      <c r="I41" s="739">
        <f t="shared" si="14"/>
        <v>6350749.2000000002</v>
      </c>
      <c r="J41" s="739">
        <f t="shared" si="14"/>
        <v>6303901.5</v>
      </c>
      <c r="K41" s="739">
        <f t="shared" si="14"/>
        <v>6014109.1500000004</v>
      </c>
      <c r="L41" s="739">
        <f t="shared" si="14"/>
        <v>6331110.2999999998</v>
      </c>
      <c r="M41" s="739">
        <f t="shared" si="14"/>
        <v>6097612.2750000004</v>
      </c>
      <c r="N41" s="739">
        <f t="shared" si="14"/>
        <v>4488305.1749999998</v>
      </c>
      <c r="O41" s="739">
        <f>SUM(C41:N41)</f>
        <v>71215899.974999994</v>
      </c>
      <c r="P41" s="1238"/>
      <c r="Q41" s="1238"/>
      <c r="R41" s="1238"/>
      <c r="S41" s="1238"/>
      <c r="T41" s="1238"/>
    </row>
  </sheetData>
  <mergeCells count="5">
    <mergeCell ref="A1:O1"/>
    <mergeCell ref="A2:O2"/>
    <mergeCell ref="A3:O3"/>
    <mergeCell ref="A4:O4"/>
    <mergeCell ref="P39:T41"/>
  </mergeCells>
  <printOptions horizontalCentered="1"/>
  <pageMargins left="0.78740157480314965" right="0.78740157480314965" top="0.98425196850393704" bottom="0.98425196850393704" header="0" footer="0"/>
  <pageSetup paperSize="5" scale="9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pageSetUpPr fitToPage="1"/>
  </sheetPr>
  <dimension ref="A1:T25"/>
  <sheetViews>
    <sheetView workbookViewId="0">
      <selection sqref="A1:O1"/>
    </sheetView>
  </sheetViews>
  <sheetFormatPr baseColWidth="10" defaultRowHeight="12.75" x14ac:dyDescent="0.2"/>
  <cols>
    <col min="1" max="1" width="16.42578125" style="640" bestFit="1" customWidth="1"/>
    <col min="2" max="2" width="9.140625" style="640" hidden="1" customWidth="1"/>
    <col min="3" max="14" width="9.7109375" style="640" customWidth="1"/>
    <col min="15" max="15" width="10.85546875" style="640" bestFit="1" customWidth="1"/>
    <col min="16" max="16" width="12.7109375" style="640" bestFit="1" customWidth="1"/>
    <col min="17" max="19" width="11.42578125" style="640"/>
    <col min="20" max="20" width="11.7109375" style="640" bestFit="1" customWidth="1"/>
    <col min="21" max="16384" width="11.42578125" style="640"/>
  </cols>
  <sheetData>
    <row r="1" spans="1:17" x14ac:dyDescent="0.2">
      <c r="A1" s="1237" t="s">
        <v>425</v>
      </c>
      <c r="B1" s="1237"/>
      <c r="C1" s="1237"/>
      <c r="D1" s="1237"/>
      <c r="E1" s="1237"/>
      <c r="F1" s="1237"/>
      <c r="G1" s="1237"/>
      <c r="H1" s="1237"/>
      <c r="I1" s="1237"/>
      <c r="J1" s="1237"/>
      <c r="K1" s="1237"/>
      <c r="L1" s="1237"/>
      <c r="M1" s="1237"/>
      <c r="N1" s="1237"/>
      <c r="O1" s="1237"/>
    </row>
    <row r="2" spans="1:17" ht="13.5" thickBot="1" x14ac:dyDescent="0.25"/>
    <row r="3" spans="1:17" ht="23.25" thickBot="1" x14ac:dyDescent="0.25">
      <c r="A3" s="667" t="s">
        <v>351</v>
      </c>
      <c r="B3" s="668" t="s">
        <v>281</v>
      </c>
      <c r="C3" s="667" t="s">
        <v>1</v>
      </c>
      <c r="D3" s="669" t="s">
        <v>2</v>
      </c>
      <c r="E3" s="667" t="s">
        <v>3</v>
      </c>
      <c r="F3" s="669" t="s">
        <v>4</v>
      </c>
      <c r="G3" s="667" t="s">
        <v>5</v>
      </c>
      <c r="H3" s="667" t="s">
        <v>6</v>
      </c>
      <c r="I3" s="667" t="s">
        <v>7</v>
      </c>
      <c r="J3" s="669" t="s">
        <v>8</v>
      </c>
      <c r="K3" s="667" t="s">
        <v>9</v>
      </c>
      <c r="L3" s="669" t="s">
        <v>10</v>
      </c>
      <c r="M3" s="667" t="s">
        <v>11</v>
      </c>
      <c r="N3" s="667" t="s">
        <v>12</v>
      </c>
      <c r="O3" s="670" t="s">
        <v>168</v>
      </c>
    </row>
    <row r="4" spans="1:17" x14ac:dyDescent="0.2">
      <c r="A4" s="645" t="s">
        <v>282</v>
      </c>
      <c r="B4" s="665"/>
      <c r="C4" s="647">
        <f>F.G.P.INCREMENTO!C7+'F.G.P. ESTIMACIONES 2014'!C7</f>
        <v>4425277.7918788027</v>
      </c>
      <c r="D4" s="647">
        <f>F.G.P.INCREMENTO!D7+'F.G.P. ESTIMACIONES 2014'!D7</f>
        <v>6396431.7339769695</v>
      </c>
      <c r="E4" s="647">
        <f>F.G.P.INCREMENTO!E7+'F.G.P. ESTIMACIONES 2014'!E7</f>
        <v>4168428.6760492101</v>
      </c>
      <c r="F4" s="647">
        <f>F.G.P.INCREMENTO!F7+'F.G.P. ESTIMACIONES 2014'!F7</f>
        <v>6204836.7851954177</v>
      </c>
      <c r="G4" s="647">
        <f>F.G.P.INCREMENTO!G7+'F.G.P. ESTIMACIONES 2014'!G7</f>
        <v>4189618.9496379998</v>
      </c>
      <c r="H4" s="647">
        <f>F.G.P.INCREMENTO!H7+'F.G.P. ESTIMACIONES 2014'!H7</f>
        <v>4233683.2862501536</v>
      </c>
      <c r="I4" s="647">
        <f>F.G.P.INCREMENTO!I7+'F.G.P. ESTIMACIONES 2014'!I7</f>
        <v>4530536.4729210911</v>
      </c>
      <c r="J4" s="647">
        <f>F.G.P.INCREMENTO!J7+'F.G.P. ESTIMACIONES 2014'!J7</f>
        <v>4696185.7899545664</v>
      </c>
      <c r="K4" s="647">
        <f>F.G.P.INCREMENTO!K7+'F.G.P. ESTIMACIONES 2014'!K7</f>
        <v>4455379.1737306891</v>
      </c>
      <c r="L4" s="647">
        <f>F.G.P.INCREMENTO!L7+'F.G.P. ESTIMACIONES 2014'!L7</f>
        <v>4496557.6145342113</v>
      </c>
      <c r="M4" s="647">
        <f>F.G.P.INCREMENTO!M7+'F.G.P. ESTIMACIONES 2014'!M7</f>
        <v>4254960.5973890247</v>
      </c>
      <c r="N4" s="647">
        <f>F.G.P.INCREMENTO!N7+'F.G.P. ESTIMACIONES 2014'!N7</f>
        <v>4307660.6344749173</v>
      </c>
      <c r="O4" s="648">
        <f>SUM(C4:N4)</f>
        <v>56359557.505993053</v>
      </c>
      <c r="P4" s="649"/>
      <c r="Q4" s="649"/>
    </row>
    <row r="5" spans="1:17" x14ac:dyDescent="0.2">
      <c r="A5" s="645" t="s">
        <v>147</v>
      </c>
      <c r="B5" s="665"/>
      <c r="C5" s="647">
        <f>F.G.P.INCREMENTO!C8+'F.G.P. ESTIMACIONES 2014'!C8</f>
        <v>3236798.3883048976</v>
      </c>
      <c r="D5" s="647">
        <f>F.G.P.INCREMENTO!D8+'F.G.P. ESTIMACIONES 2014'!D8</f>
        <v>4788112.0829740874</v>
      </c>
      <c r="E5" s="647">
        <f>F.G.P.INCREMENTO!E8+'F.G.P. ESTIMACIONES 2014'!E8</f>
        <v>3035160.789273235</v>
      </c>
      <c r="F5" s="647">
        <f>F.G.P.INCREMENTO!F8+'F.G.P. ESTIMACIONES 2014'!F8</f>
        <v>4670219.7430851422</v>
      </c>
      <c r="G5" s="647">
        <f>F.G.P.INCREMENTO!G8+'F.G.P. ESTIMACIONES 2014'!G8</f>
        <v>3078695.7907919004</v>
      </c>
      <c r="H5" s="647">
        <f>F.G.P.INCREMENTO!H8+'F.G.P. ESTIMACIONES 2014'!H8</f>
        <v>3129752.7684601713</v>
      </c>
      <c r="I5" s="647">
        <f>F.G.P.INCREMENTO!I8+'F.G.P. ESTIMACIONES 2014'!I8</f>
        <v>3286747.942769195</v>
      </c>
      <c r="J5" s="647">
        <f>F.G.P.INCREMENTO!J8+'F.G.P. ESTIMACIONES 2014'!J8</f>
        <v>3484414.8554363884</v>
      </c>
      <c r="K5" s="647">
        <f>F.G.P.INCREMENTO!K8+'F.G.P. ESTIMACIONES 2014'!K8</f>
        <v>3242785.9870630312</v>
      </c>
      <c r="L5" s="647">
        <f>F.G.P.INCREMENTO!L8+'F.G.P. ESTIMACIONES 2014'!L8</f>
        <v>3214413.6130462405</v>
      </c>
      <c r="M5" s="647">
        <f>F.G.P.INCREMENTO!M8+'F.G.P. ESTIMACIONES 2014'!M8</f>
        <v>3121476.4032228421</v>
      </c>
      <c r="N5" s="647">
        <f>F.G.P.INCREMENTO!N8+'F.G.P. ESTIMACIONES 2014'!N8</f>
        <v>3118986.8454309218</v>
      </c>
      <c r="O5" s="648">
        <f t="shared" ref="O5:O23" si="0">SUM(C5:N5)</f>
        <v>41407565.20985806</v>
      </c>
      <c r="P5" s="649"/>
      <c r="Q5" s="649"/>
    </row>
    <row r="6" spans="1:17" x14ac:dyDescent="0.2">
      <c r="A6" s="645" t="s">
        <v>148</v>
      </c>
      <c r="B6" s="665"/>
      <c r="C6" s="647">
        <f>F.G.P.INCREMENTO!C9+'F.G.P. ESTIMACIONES 2014'!C9</f>
        <v>3082011.7850442678</v>
      </c>
      <c r="D6" s="647">
        <f>F.G.P.INCREMENTO!D9+'F.G.P. ESTIMACIONES 2014'!D9</f>
        <v>4572622.9675895162</v>
      </c>
      <c r="E6" s="647">
        <f>F.G.P.INCREMENTO!E9+'F.G.P. ESTIMACIONES 2014'!E9</f>
        <v>2888321.9436840401</v>
      </c>
      <c r="F6" s="647">
        <f>F.G.P.INCREMENTO!F9+'F.G.P. ESTIMACIONES 2014'!F9</f>
        <v>4463106.4554424724</v>
      </c>
      <c r="G6" s="647">
        <f>F.G.P.INCREMENTO!G9+'F.G.P. ESTIMACIONES 2014'!G9</f>
        <v>2933225.6797896069</v>
      </c>
      <c r="H6" s="647">
        <f>F.G.P.INCREMENTO!H9+'F.G.P. ESTIMACIONES 2014'!H9</f>
        <v>2984158.2602999834</v>
      </c>
      <c r="I6" s="647">
        <f>F.G.P.INCREMENTO!I9+'F.G.P. ESTIMACIONES 2014'!I9</f>
        <v>3126244.6148566417</v>
      </c>
      <c r="J6" s="647">
        <f>F.G.P.INCREMENTO!J9+'F.G.P. ESTIMACIONES 2014'!J9</f>
        <v>3323875.1499573295</v>
      </c>
      <c r="K6" s="647">
        <f>F.G.P.INCREMENTO!K9+'F.G.P. ESTIMACIONES 2014'!K9</f>
        <v>3085740.1421160791</v>
      </c>
      <c r="L6" s="647">
        <f>F.G.P.INCREMENTO!L9+'F.G.P. ESTIMACIONES 2014'!L9</f>
        <v>3051525.4427293553</v>
      </c>
      <c r="M6" s="647">
        <f>F.G.P.INCREMENTO!M9+'F.G.P. ESTIMACIONES 2014'!M9</f>
        <v>2973343.5513973031</v>
      </c>
      <c r="N6" s="647">
        <f>F.G.P.INCREMENTO!N9+'F.G.P. ESTIMACIONES 2014'!N9</f>
        <v>2965922.3437941405</v>
      </c>
      <c r="O6" s="648">
        <f t="shared" si="0"/>
        <v>39450098.33670073</v>
      </c>
      <c r="P6" s="649"/>
      <c r="Q6" s="649"/>
    </row>
    <row r="7" spans="1:17" x14ac:dyDescent="0.2">
      <c r="A7" s="645" t="s">
        <v>283</v>
      </c>
      <c r="B7" s="665"/>
      <c r="C7" s="647">
        <f>F.G.P.INCREMENTO!C10+'F.G.P. ESTIMACIONES 2014'!C10</f>
        <v>6718211.6507346388</v>
      </c>
      <c r="D7" s="647">
        <f>F.G.P.INCREMENTO!D10+'F.G.P. ESTIMACIONES 2014'!D10</f>
        <v>11365476.332263753</v>
      </c>
      <c r="E7" s="647">
        <f>F.G.P.INCREMENTO!E10+'F.G.P. ESTIMACIONES 2014'!E10</f>
        <v>6120278.4030331858</v>
      </c>
      <c r="F7" s="647">
        <f>F.G.P.INCREMENTO!F10+'F.G.P. ESTIMACIONES 2014'!F10</f>
        <v>11410663.092237704</v>
      </c>
      <c r="G7" s="647">
        <f>F.G.P.INCREMENTO!G10+'F.G.P. ESTIMACIONES 2014'!G10</f>
        <v>6575951.8125929143</v>
      </c>
      <c r="H7" s="647">
        <f>F.G.P.INCREMENTO!H10+'F.G.P. ESTIMACIONES 2014'!H10</f>
        <v>6927243.1855327822</v>
      </c>
      <c r="I7" s="647">
        <f>F.G.P.INCREMENTO!I10+'F.G.P. ESTIMACIONES 2014'!I10</f>
        <v>6469543.8967733849</v>
      </c>
      <c r="J7" s="647">
        <f>F.G.P.INCREMENTO!J10+'F.G.P. ESTIMACIONES 2014'!J10</f>
        <v>7876702.8118140753</v>
      </c>
      <c r="K7" s="647">
        <f>F.G.P.INCREMENTO!K10+'F.G.P. ESTIMACIONES 2014'!K10</f>
        <v>6521769.4587592622</v>
      </c>
      <c r="L7" s="647">
        <f>F.G.P.INCREMENTO!L10+'F.G.P. ESTIMACIONES 2014'!L10</f>
        <v>5700717.3009144925</v>
      </c>
      <c r="M7" s="647">
        <f>F.G.P.INCREMENTO!M10+'F.G.P. ESTIMACIONES 2014'!M10</f>
        <v>6599431.977786772</v>
      </c>
      <c r="N7" s="647">
        <f>F.G.P.INCREMENTO!N10+'F.G.P. ESTIMACIONES 2014'!N10</f>
        <v>6059551.9979227651</v>
      </c>
      <c r="O7" s="648">
        <f t="shared" si="0"/>
        <v>88345541.920365736</v>
      </c>
      <c r="P7" s="649"/>
      <c r="Q7" s="649"/>
    </row>
    <row r="8" spans="1:17" x14ac:dyDescent="0.2">
      <c r="A8" s="645" t="s">
        <v>150</v>
      </c>
      <c r="B8" s="665"/>
      <c r="C8" s="647">
        <f>F.G.P.INCREMENTO!C11+'F.G.P. ESTIMACIONES 2014'!C11</f>
        <v>5766306.152406008</v>
      </c>
      <c r="D8" s="647">
        <f>F.G.P.INCREMENTO!D11+'F.G.P. ESTIMACIONES 2014'!D11</f>
        <v>8382237.2090128362</v>
      </c>
      <c r="E8" s="647">
        <f>F.G.P.INCREMENTO!E11+'F.G.P. ESTIMACIONES 2014'!E11</f>
        <v>5425658.6101651601</v>
      </c>
      <c r="F8" s="647">
        <f>F.G.P.INCREMENTO!F11+'F.G.P. ESTIMACIONES 2014'!F11</f>
        <v>8142216.3615700249</v>
      </c>
      <c r="G8" s="647">
        <f>F.G.P.INCREMENTO!G11+'F.G.P. ESTIMACIONES 2014'!G11</f>
        <v>5465412.1696692128</v>
      </c>
      <c r="H8" s="647">
        <f>F.G.P.INCREMENTO!H11+'F.G.P. ESTIMACIONES 2014'!H11</f>
        <v>5530983.2840064391</v>
      </c>
      <c r="I8" s="647">
        <f>F.G.P.INCREMENTO!I11+'F.G.P. ESTIMACIONES 2014'!I11</f>
        <v>5891751.54977406</v>
      </c>
      <c r="J8" s="647">
        <f>F.G.P.INCREMENTO!J11+'F.G.P. ESTIMACIONES 2014'!J11</f>
        <v>6140732.2063625688</v>
      </c>
      <c r="K8" s="647">
        <f>F.G.P.INCREMENTO!K11+'F.G.P. ESTIMACIONES 2014'!K11</f>
        <v>5798587.2503344612</v>
      </c>
      <c r="L8" s="647">
        <f>F.G.P.INCREMENTO!L11+'F.G.P. ESTIMACIONES 2014'!L11</f>
        <v>5826912.5150667783</v>
      </c>
      <c r="M8" s="647">
        <f>F.G.P.INCREMENTO!M11+'F.G.P. ESTIMACIONES 2014'!M11</f>
        <v>5548384.0065855952</v>
      </c>
      <c r="N8" s="647">
        <f>F.G.P.INCREMENTO!N11+'F.G.P. ESTIMACIONES 2014'!N11</f>
        <v>5599282.0640885951</v>
      </c>
      <c r="O8" s="648">
        <f t="shared" si="0"/>
        <v>73518463.379041746</v>
      </c>
      <c r="P8" s="649"/>
      <c r="Q8" s="649"/>
    </row>
    <row r="9" spans="1:17" x14ac:dyDescent="0.2">
      <c r="A9" s="645" t="s">
        <v>284</v>
      </c>
      <c r="B9" s="665"/>
      <c r="C9" s="647">
        <f>F.G.P.INCREMENTO!C12+'F.G.P. ESTIMACIONES 2014'!C12</f>
        <v>3118035.8006251026</v>
      </c>
      <c r="D9" s="647">
        <f>F.G.P.INCREMENTO!D12+'F.G.P. ESTIMACIONES 2014'!D12</f>
        <v>5154249.6797687029</v>
      </c>
      <c r="E9" s="647">
        <f>F.G.P.INCREMENTO!E12+'F.G.P. ESTIMACIONES 2014'!E12</f>
        <v>2855691.4837191603</v>
      </c>
      <c r="F9" s="647">
        <f>F.G.P.INCREMENTO!F12+'F.G.P. ESTIMACIONES 2014'!F12</f>
        <v>5150717.5257063806</v>
      </c>
      <c r="G9" s="647">
        <f>F.G.P.INCREMENTO!G12+'F.G.P. ESTIMACIONES 2014'!G12</f>
        <v>3036296.7147230948</v>
      </c>
      <c r="H9" s="647">
        <f>F.G.P.INCREMENTO!H12+'F.G.P. ESTIMACIONES 2014'!H12</f>
        <v>3178599.7957847361</v>
      </c>
      <c r="I9" s="647">
        <f>F.G.P.INCREMENTO!I12+'F.G.P. ESTIMACIONES 2014'!I12</f>
        <v>3032408.8878985578</v>
      </c>
      <c r="J9" s="647">
        <f>F.G.P.INCREMENTO!J12+'F.G.P. ESTIMACIONES 2014'!J12</f>
        <v>3601226.7495729094</v>
      </c>
      <c r="K9" s="647">
        <f>F.G.P.INCREMENTO!K12+'F.G.P. ESTIMACIONES 2014'!K12</f>
        <v>3044519.7556646047</v>
      </c>
      <c r="L9" s="647">
        <f>F.G.P.INCREMENTO!L12+'F.G.P. ESTIMACIONES 2014'!L12</f>
        <v>2727882.4103862103</v>
      </c>
      <c r="M9" s="647">
        <f>F.G.P.INCREMENTO!M12+'F.G.P. ESTIMACIONES 2014'!M12</f>
        <v>3052715.3634193446</v>
      </c>
      <c r="N9" s="647">
        <f>F.G.P.INCREMENTO!N12+'F.G.P. ESTIMACIONES 2014'!N12</f>
        <v>2847348.0360778291</v>
      </c>
      <c r="O9" s="648">
        <f t="shared" si="0"/>
        <v>40799692.203346632</v>
      </c>
      <c r="P9" s="649"/>
      <c r="Q9" s="649"/>
    </row>
    <row r="10" spans="1:17" x14ac:dyDescent="0.2">
      <c r="A10" s="645" t="s">
        <v>152</v>
      </c>
      <c r="B10" s="665"/>
      <c r="C10" s="647">
        <f>F.G.P.INCREMENTO!C13+'F.G.P. ESTIMACIONES 2014'!C13</f>
        <v>2520290.9410400731</v>
      </c>
      <c r="D10" s="647">
        <f>F.G.P.INCREMENTO!D13+'F.G.P. ESTIMACIONES 2014'!D13</f>
        <v>3970489.5562096965</v>
      </c>
      <c r="E10" s="647">
        <f>F.G.P.INCREMENTO!E13+'F.G.P. ESTIMACIONES 2014'!E13</f>
        <v>2332833.556414241</v>
      </c>
      <c r="F10" s="647">
        <f>F.G.P.INCREMENTO!F13+'F.G.P. ESTIMACIONES 2014'!F13</f>
        <v>3927898.9273746656</v>
      </c>
      <c r="G10" s="647">
        <f>F.G.P.INCREMENTO!G13+'F.G.P. ESTIMACIONES 2014'!G13</f>
        <v>2428740.2050756356</v>
      </c>
      <c r="H10" s="647">
        <f>F.G.P.INCREMENTO!H13+'F.G.P. ESTIMACIONES 2014'!H13</f>
        <v>2510135.7531403326</v>
      </c>
      <c r="I10" s="647">
        <f>F.G.P.INCREMENTO!I13+'F.G.P. ESTIMACIONES 2014'!I13</f>
        <v>2499376.6433853135</v>
      </c>
      <c r="J10" s="647">
        <f>F.G.P.INCREMENTO!J13+'F.G.P. ESTIMACIONES 2014'!J13</f>
        <v>2822500.0713764355</v>
      </c>
      <c r="K10" s="647">
        <f>F.G.P.INCREMENTO!K13+'F.G.P. ESTIMACIONES 2014'!K13</f>
        <v>2489499.3021251131</v>
      </c>
      <c r="L10" s="647">
        <f>F.G.P.INCREMENTO!L13+'F.G.P. ESTIMACIONES 2014'!L13</f>
        <v>2338037.099687208</v>
      </c>
      <c r="M10" s="647">
        <f>F.G.P.INCREMENTO!M13+'F.G.P. ESTIMACIONES 2014'!M13</f>
        <v>2450964.2811970003</v>
      </c>
      <c r="N10" s="647">
        <f>F.G.P.INCREMENTO!N13+'F.G.P. ESTIMACIONES 2014'!N13</f>
        <v>2358263.0947125182</v>
      </c>
      <c r="O10" s="648">
        <f t="shared" si="0"/>
        <v>32649029.431738235</v>
      </c>
      <c r="P10" s="649"/>
      <c r="Q10" s="649"/>
    </row>
    <row r="11" spans="1:17" x14ac:dyDescent="0.2">
      <c r="A11" s="645" t="s">
        <v>153</v>
      </c>
      <c r="B11" s="665"/>
      <c r="C11" s="647">
        <f>F.G.P.INCREMENTO!C14+'F.G.P. ESTIMACIONES 2014'!C14</f>
        <v>4007071.3621171727</v>
      </c>
      <c r="D11" s="647">
        <f>F.G.P.INCREMENTO!D14+'F.G.P. ESTIMACIONES 2014'!D14</f>
        <v>5864584.0178892752</v>
      </c>
      <c r="E11" s="647">
        <f>F.G.P.INCREMENTO!E14+'F.G.P. ESTIMACIONES 2014'!E14</f>
        <v>3765364.8134832205</v>
      </c>
      <c r="F11" s="647">
        <f>F.G.P.INCREMENTO!F14+'F.G.P. ESTIMACIONES 2014'!F14</f>
        <v>5705847.6513020834</v>
      </c>
      <c r="G11" s="647">
        <f>F.G.P.INCREMENTO!G14+'F.G.P. ESTIMACIONES 2014'!G14</f>
        <v>3803143.3846493429</v>
      </c>
      <c r="H11" s="647">
        <f>F.G.P.INCREMENTO!H14+'F.G.P. ESTIMACIONES 2014'!H14</f>
        <v>3855527.7888325211</v>
      </c>
      <c r="I11" s="647">
        <f>F.G.P.INCREMENTO!I14+'F.G.P. ESTIMACIONES 2014'!I14</f>
        <v>4084451.9426879943</v>
      </c>
      <c r="J11" s="647">
        <f>F.G.P.INCREMENTO!J14+'F.G.P. ESTIMACIONES 2014'!J14</f>
        <v>4285178.4907807102</v>
      </c>
      <c r="K11" s="647">
        <f>F.G.P.INCREMENTO!K14+'F.G.P. ESTIMACIONES 2014'!K14</f>
        <v>4023698.6157164192</v>
      </c>
      <c r="L11" s="647">
        <f>F.G.P.INCREMENTO!L14+'F.G.P. ESTIMACIONES 2014'!L14</f>
        <v>4022198.9019029476</v>
      </c>
      <c r="M11" s="647">
        <f>F.G.P.INCREMENTO!M14+'F.G.P. ESTIMACIONES 2014'!M14</f>
        <v>3858986.1378453653</v>
      </c>
      <c r="N11" s="647">
        <f>F.G.P.INCREMENTO!N14+'F.G.P. ESTIMACIONES 2014'!N14</f>
        <v>3879494.1815436836</v>
      </c>
      <c r="O11" s="648">
        <f t="shared" si="0"/>
        <v>51155547.288750745</v>
      </c>
      <c r="P11" s="649"/>
      <c r="Q11" s="649"/>
    </row>
    <row r="12" spans="1:17" x14ac:dyDescent="0.2">
      <c r="A12" s="645" t="s">
        <v>154</v>
      </c>
      <c r="B12" s="665"/>
      <c r="C12" s="647">
        <f>F.G.P.INCREMENTO!C15+'F.G.P. ESTIMACIONES 2014'!C15</f>
        <v>3477013.8725844687</v>
      </c>
      <c r="D12" s="647">
        <f>F.G.P.INCREMENTO!D15+'F.G.P. ESTIMACIONES 2014'!D15</f>
        <v>5046912.0165955648</v>
      </c>
      <c r="E12" s="647">
        <f>F.G.P.INCREMENTO!E15+'F.G.P. ESTIMACIONES 2014'!E15</f>
        <v>3272547.3133365773</v>
      </c>
      <c r="F12" s="647">
        <f>F.G.P.INCREMENTO!F15+'F.G.P. ESTIMACIONES 2014'!F15</f>
        <v>4900663.8332441673</v>
      </c>
      <c r="G12" s="647">
        <f>F.G.P.INCREMENTO!G15+'F.G.P. ESTIMACIONES 2014'!G15</f>
        <v>3294604.6273027258</v>
      </c>
      <c r="H12" s="647">
        <f>F.G.P.INCREMENTO!H15+'F.G.P. ESTIMACIONES 2014'!H15</f>
        <v>3332858.1819534912</v>
      </c>
      <c r="I12" s="647">
        <f>F.G.P.INCREMENTO!I15+'F.G.P. ESTIMACIONES 2014'!I15</f>
        <v>3554501.6115224427</v>
      </c>
      <c r="J12" s="647">
        <f>F.G.P.INCREMENTO!J15+'F.G.P. ESTIMACIONES 2014'!J15</f>
        <v>3699412.0209474368</v>
      </c>
      <c r="K12" s="647">
        <f>F.G.P.INCREMENTO!K15+'F.G.P. ESTIMACIONES 2014'!K15</f>
        <v>3497573.1059486754</v>
      </c>
      <c r="L12" s="647">
        <f>F.G.P.INCREMENTO!L15+'F.G.P. ESTIMACIONES 2014'!L15</f>
        <v>3518645.3168868055</v>
      </c>
      <c r="M12" s="647">
        <f>F.G.P.INCREMENTO!M15+'F.G.P. ESTIMACIONES 2014'!M15</f>
        <v>3344977.7886691038</v>
      </c>
      <c r="N12" s="647">
        <f>F.G.P.INCREMENTO!N15+'F.G.P. ESTIMACIONES 2014'!N15</f>
        <v>3378469.6782634673</v>
      </c>
      <c r="O12" s="648">
        <f t="shared" si="0"/>
        <v>44318179.367254928</v>
      </c>
      <c r="P12" s="649"/>
      <c r="Q12" s="649"/>
    </row>
    <row r="13" spans="1:17" x14ac:dyDescent="0.2">
      <c r="A13" s="645" t="s">
        <v>155</v>
      </c>
      <c r="B13" s="665"/>
      <c r="C13" s="647">
        <f>F.G.P.INCREMENTO!C16+'F.G.P. ESTIMACIONES 2014'!C16</f>
        <v>2590212.9246139284</v>
      </c>
      <c r="D13" s="647">
        <f>F.G.P.INCREMENTO!D16+'F.G.P. ESTIMACIONES 2014'!D16</f>
        <v>4063669.1268528132</v>
      </c>
      <c r="E13" s="647">
        <f>F.G.P.INCREMENTO!E16+'F.G.P. ESTIMACIONES 2014'!E16</f>
        <v>2399688.6452290304</v>
      </c>
      <c r="F13" s="647">
        <f>F.G.P.INCREMENTO!F16+'F.G.P. ESTIMACIONES 2014'!F16</f>
        <v>4016449.3055064632</v>
      </c>
      <c r="G13" s="647">
        <f>F.G.P.INCREMENTO!G16+'F.G.P. ESTIMACIONES 2014'!G16</f>
        <v>2493911.3937124275</v>
      </c>
      <c r="H13" s="647">
        <f>F.G.P.INCREMENTO!H16+'F.G.P. ESTIMACIONES 2014'!H16</f>
        <v>2574647.5536883571</v>
      </c>
      <c r="I13" s="647">
        <f>F.G.P.INCREMENTO!I16+'F.G.P. ESTIMACIONES 2014'!I16</f>
        <v>2572908.8136383807</v>
      </c>
      <c r="J13" s="647">
        <f>F.G.P.INCREMENTO!J16+'F.G.P. ESTIMACIONES 2014'!J16</f>
        <v>2893140.808508371</v>
      </c>
      <c r="K13" s="647">
        <f>F.G.P.INCREMENTO!K16+'F.G.P. ESTIMACIONES 2014'!K16</f>
        <v>2561051.1187409488</v>
      </c>
      <c r="L13" s="647">
        <f>F.G.P.INCREMENTO!L16+'F.G.P. ESTIMACIONES 2014'!L16</f>
        <v>2414451.2684595962</v>
      </c>
      <c r="M13" s="647">
        <f>F.G.P.INCREMENTO!M16+'F.G.P. ESTIMACIONES 2014'!M16</f>
        <v>2517528.8315651827</v>
      </c>
      <c r="N13" s="647">
        <f>F.G.P.INCREMENTO!N16+'F.G.P. ESTIMACIONES 2014'!N16</f>
        <v>2428615.1553306188</v>
      </c>
      <c r="O13" s="648">
        <f t="shared" si="0"/>
        <v>33526274.945846118</v>
      </c>
      <c r="P13" s="649"/>
      <c r="Q13" s="649"/>
    </row>
    <row r="14" spans="1:17" x14ac:dyDescent="0.2">
      <c r="A14" s="645" t="s">
        <v>156</v>
      </c>
      <c r="B14" s="665"/>
      <c r="C14" s="647">
        <f>F.G.P.INCREMENTO!C17+'F.G.P. ESTIMACIONES 2014'!C17</f>
        <v>3757928.7478269031</v>
      </c>
      <c r="D14" s="647">
        <f>F.G.P.INCREMENTO!D17+'F.G.P. ESTIMACIONES 2014'!D17</f>
        <v>5576058.1783370096</v>
      </c>
      <c r="E14" s="647">
        <f>F.G.P.INCREMENTO!E17+'F.G.P. ESTIMACIONES 2014'!E17</f>
        <v>3521683.8200031649</v>
      </c>
      <c r="F14" s="647">
        <f>F.G.P.INCREMENTO!F17+'F.G.P. ESTIMACIONES 2014'!F17</f>
        <v>5442647.8215348683</v>
      </c>
      <c r="G14" s="647">
        <f>F.G.P.INCREMENTO!G17+'F.G.P. ESTIMACIONES 2014'!G17</f>
        <v>3576591.9977419134</v>
      </c>
      <c r="H14" s="647">
        <f>F.G.P.INCREMENTO!H17+'F.G.P. ESTIMACIONES 2014'!H17</f>
        <v>3638799.7727460191</v>
      </c>
      <c r="I14" s="647">
        <f>F.G.P.INCREMENTO!I17+'F.G.P. ESTIMACIONES 2014'!I17</f>
        <v>3811711.2641979749</v>
      </c>
      <c r="J14" s="647">
        <f>F.G.P.INCREMENTO!J17+'F.G.P. ESTIMACIONES 2014'!J17</f>
        <v>4053111.5227710176</v>
      </c>
      <c r="K14" s="647">
        <f>F.G.P.INCREMENTO!K17+'F.G.P. ESTIMACIONES 2014'!K17</f>
        <v>3762385.2412564103</v>
      </c>
      <c r="L14" s="647">
        <f>F.G.P.INCREMENTO!L17+'F.G.P. ESTIMACIONES 2014'!L17</f>
        <v>3720340.2089440981</v>
      </c>
      <c r="M14" s="647">
        <f>F.G.P.INCREMENTO!M17+'F.G.P. ESTIMACIONES 2014'!M17</f>
        <v>3625480.135748527</v>
      </c>
      <c r="N14" s="647">
        <f>F.G.P.INCREMENTO!N17+'F.G.P. ESTIMACIONES 2014'!N17</f>
        <v>3616202.17948783</v>
      </c>
      <c r="O14" s="648">
        <f t="shared" si="0"/>
        <v>48102940.890595734</v>
      </c>
      <c r="P14" s="649"/>
      <c r="Q14" s="649"/>
    </row>
    <row r="15" spans="1:17" x14ac:dyDescent="0.2">
      <c r="A15" s="645" t="s">
        <v>157</v>
      </c>
      <c r="B15" s="665"/>
      <c r="C15" s="647">
        <f>F.G.P.INCREMENTO!C18+'F.G.P. ESTIMACIONES 2014'!C18</f>
        <v>4007816.0434830855</v>
      </c>
      <c r="D15" s="647">
        <f>F.G.P.INCREMENTO!D18+'F.G.P. ESTIMACIONES 2014'!D18</f>
        <v>5761291.2494713832</v>
      </c>
      <c r="E15" s="647">
        <f>F.G.P.INCREMENTO!E18+'F.G.P. ESTIMACIONES 2014'!E18</f>
        <v>3779185.1481611347</v>
      </c>
      <c r="F15" s="647">
        <f>F.G.P.INCREMENTO!F18+'F.G.P. ESTIMACIONES 2014'!F18</f>
        <v>5581327.0177868363</v>
      </c>
      <c r="G15" s="647">
        <f>F.G.P.INCREMENTO!G18+'F.G.P. ESTIMACIONES 2014'!G18</f>
        <v>3790256.1664769091</v>
      </c>
      <c r="H15" s="647">
        <f>F.G.P.INCREMENTO!H18+'F.G.P. ESTIMACIONES 2014'!H18</f>
        <v>3824710.6665859651</v>
      </c>
      <c r="I15" s="647">
        <f>F.G.P.INCREMENTO!I18+'F.G.P. ESTIMACIONES 2014'!I18</f>
        <v>4110976.9913147842</v>
      </c>
      <c r="J15" s="647">
        <f>F.G.P.INCREMENTO!J18+'F.G.P. ESTIMACIONES 2014'!J18</f>
        <v>4238840.6683956254</v>
      </c>
      <c r="K15" s="647">
        <f>F.G.P.INCREMENTO!K18+'F.G.P. ESTIMACIONES 2014'!K18</f>
        <v>4039720.5904055727</v>
      </c>
      <c r="L15" s="647">
        <f>F.G.P.INCREMENTO!L18+'F.G.P. ESTIMACIONES 2014'!L18</f>
        <v>4093955.9455461521</v>
      </c>
      <c r="M15" s="647">
        <f>F.G.P.INCREMENTO!M18+'F.G.P. ESTIMACIONES 2014'!M18</f>
        <v>3850885.5781147992</v>
      </c>
      <c r="N15" s="647">
        <f>F.G.P.INCREMENTO!N18+'F.G.P. ESTIMACIONES 2014'!N18</f>
        <v>3910499.8176201675</v>
      </c>
      <c r="O15" s="648">
        <f t="shared" si="0"/>
        <v>50989465.883362412</v>
      </c>
      <c r="P15" s="649"/>
      <c r="Q15" s="649"/>
    </row>
    <row r="16" spans="1:17" x14ac:dyDescent="0.2">
      <c r="A16" s="645" t="s">
        <v>158</v>
      </c>
      <c r="B16" s="665"/>
      <c r="C16" s="647">
        <f>F.G.P.INCREMENTO!C19+'F.G.P. ESTIMACIONES 2014'!C19</f>
        <v>5376012.6872338196</v>
      </c>
      <c r="D16" s="647">
        <f>F.G.P.INCREMENTO!D19+'F.G.P. ESTIMACIONES 2014'!D19</f>
        <v>7590571.0488059977</v>
      </c>
      <c r="E16" s="647">
        <f>F.G.P.INCREMENTO!E19+'F.G.P. ESTIMACIONES 2014'!E19</f>
        <v>5086617.3678129045</v>
      </c>
      <c r="F16" s="647">
        <f>F.G.P.INCREMENTO!F19+'F.G.P. ESTIMACIONES 2014'!F19</f>
        <v>7321241.862972009</v>
      </c>
      <c r="G16" s="647">
        <f>F.G.P.INCREMENTO!G19+'F.G.P. ESTIMACIONES 2014'!G19</f>
        <v>5066271.9609118011</v>
      </c>
      <c r="H16" s="647">
        <f>F.G.P.INCREMENTO!H19+'F.G.P. ESTIMACIONES 2014'!H19</f>
        <v>5088853.5240066499</v>
      </c>
      <c r="I16" s="647">
        <f>F.G.P.INCREMENTO!I19+'F.G.P. ESTIMACIONES 2014'!I19</f>
        <v>5548337.0655775424</v>
      </c>
      <c r="J16" s="647">
        <f>F.G.P.INCREMENTO!J19+'F.G.P. ESTIMACIONES 2014'!J19</f>
        <v>5623806.7108041933</v>
      </c>
      <c r="K16" s="647">
        <f>F.G.P.INCREMENTO!K19+'F.G.P. ESTIMACIONES 2014'!K19</f>
        <v>5438932.307529809</v>
      </c>
      <c r="L16" s="647">
        <f>F.G.P.INCREMENTO!L19+'F.G.P. ESTIMACIONES 2014'!L19</f>
        <v>5585112.7562072733</v>
      </c>
      <c r="M16" s="647">
        <f>F.G.P.INCREMENTO!M19+'F.G.P. ESTIMACIONES 2014'!M19</f>
        <v>5153891.8144299909</v>
      </c>
      <c r="N16" s="647">
        <f>F.G.P.INCREMENTO!N19+'F.G.P. ESTIMACIONES 2014'!N19</f>
        <v>5285373.833379548</v>
      </c>
      <c r="O16" s="648">
        <f t="shared" si="0"/>
        <v>68165022.939671546</v>
      </c>
      <c r="P16" s="649"/>
      <c r="Q16" s="649"/>
    </row>
    <row r="17" spans="1:20" x14ac:dyDescent="0.2">
      <c r="A17" s="645" t="s">
        <v>285</v>
      </c>
      <c r="B17" s="665"/>
      <c r="C17" s="647">
        <f>F.G.P.INCREMENTO!C20+'F.G.P. ESTIMACIONES 2014'!C20</f>
        <v>2799650.2139689708</v>
      </c>
      <c r="D17" s="647">
        <f>F.G.P.INCREMENTO!D20+'F.G.P. ESTIMACIONES 2014'!D20</f>
        <v>4145401.0297143622</v>
      </c>
      <c r="E17" s="647">
        <f>F.G.P.INCREMENTO!E20+'F.G.P. ESTIMACIONES 2014'!E20</f>
        <v>2624748.3092402634</v>
      </c>
      <c r="F17" s="647">
        <f>F.G.P.INCREMENTO!F20+'F.G.P. ESTIMACIONES 2014'!F20</f>
        <v>4044233.0930178575</v>
      </c>
      <c r="G17" s="647">
        <f>F.G.P.INCREMENTO!G20+'F.G.P. ESTIMACIONES 2014'!G20</f>
        <v>2663414.8170531974</v>
      </c>
      <c r="H17" s="647">
        <f>F.G.P.INCREMENTO!H20+'F.G.P. ESTIMACIONES 2014'!H20</f>
        <v>2708255.280091037</v>
      </c>
      <c r="I17" s="647">
        <f>F.G.P.INCREMENTO!I20+'F.G.P. ESTIMACIONES 2014'!I20</f>
        <v>2841878.5414517559</v>
      </c>
      <c r="J17" s="647">
        <f>F.G.P.INCREMENTO!J20+'F.G.P. ESTIMACIONES 2014'!J20</f>
        <v>3015608.7066726992</v>
      </c>
      <c r="K17" s="647">
        <f>F.G.P.INCREMENTO!K20+'F.G.P. ESTIMACIONES 2014'!K20</f>
        <v>2804251.0182212787</v>
      </c>
      <c r="L17" s="647">
        <f>F.G.P.INCREMENTO!L20+'F.G.P. ESTIMACIONES 2014'!L20</f>
        <v>2777600.8897418054</v>
      </c>
      <c r="M17" s="647">
        <f>F.G.P.INCREMENTO!M20+'F.G.P. ESTIMACIONES 2014'!M20</f>
        <v>2700236.8783613741</v>
      </c>
      <c r="N17" s="647">
        <f>F.G.P.INCREMENTO!N20+'F.G.P. ESTIMACIONES 2014'!N20</f>
        <v>2696603.5080280011</v>
      </c>
      <c r="O17" s="648">
        <f t="shared" si="0"/>
        <v>35821882.285562597</v>
      </c>
      <c r="P17" s="649"/>
      <c r="Q17" s="649"/>
    </row>
    <row r="18" spans="1:20" x14ac:dyDescent="0.2">
      <c r="A18" s="645" t="s">
        <v>286</v>
      </c>
      <c r="B18" s="665"/>
      <c r="C18" s="647">
        <f>F.G.P.INCREMENTO!C21+'F.G.P. ESTIMACIONES 2014'!C21</f>
        <v>3697415.5329933725</v>
      </c>
      <c r="D18" s="647">
        <f>F.G.P.INCREMENTO!D21+'F.G.P. ESTIMACIONES 2014'!D21</f>
        <v>5476574.8023600671</v>
      </c>
      <c r="E18" s="647">
        <f>F.G.P.INCREMENTO!E21+'F.G.P. ESTIMACIONES 2014'!E21</f>
        <v>3466193.213256144</v>
      </c>
      <c r="F18" s="647">
        <f>F.G.P.INCREMENTO!F21+'F.G.P. ESTIMACIONES 2014'!F21</f>
        <v>5343344.2076463094</v>
      </c>
      <c r="G18" s="647">
        <f>F.G.P.INCREMENTO!G21+'F.G.P. ESTIMACIONES 2014'!G21</f>
        <v>3517736.450016981</v>
      </c>
      <c r="H18" s="647">
        <f>F.G.P.INCREMENTO!H21+'F.G.P. ESTIMACIONES 2014'!H21</f>
        <v>3577276.5967377541</v>
      </c>
      <c r="I18" s="647">
        <f>F.G.P.INCREMENTO!I21+'F.G.P. ESTIMACIONES 2014'!I21</f>
        <v>3752724.677131895</v>
      </c>
      <c r="J18" s="647">
        <f>F.G.P.INCREMENTO!J21+'F.G.P. ESTIMACIONES 2014'!J21</f>
        <v>3983468.0673030177</v>
      </c>
      <c r="K18" s="647">
        <f>F.G.P.INCREMENTO!K21+'F.G.P. ESTIMACIONES 2014'!K21</f>
        <v>3703218.6552747069</v>
      </c>
      <c r="L18" s="647">
        <f>F.G.P.INCREMENTO!L21+'F.G.P. ESTIMACIONES 2014'!L21</f>
        <v>3667026.354185286</v>
      </c>
      <c r="M18" s="647">
        <f>F.G.P.INCREMENTO!M21+'F.G.P. ESTIMACIONES 2014'!M21</f>
        <v>3566280.8858888047</v>
      </c>
      <c r="N18" s="647">
        <f>F.G.P.INCREMENTO!N21+'F.G.P. ESTIMACIONES 2014'!N21</f>
        <v>3560783.4509463282</v>
      </c>
      <c r="O18" s="648">
        <f t="shared" si="0"/>
        <v>47312042.893740669</v>
      </c>
      <c r="P18" s="649"/>
      <c r="Q18" s="649"/>
    </row>
    <row r="19" spans="1:20" x14ac:dyDescent="0.2">
      <c r="A19" s="645" t="s">
        <v>287</v>
      </c>
      <c r="B19" s="665"/>
      <c r="C19" s="647">
        <f>F.G.P.INCREMENTO!C22+'F.G.P. ESTIMACIONES 2014'!C22</f>
        <v>9247366.287617296</v>
      </c>
      <c r="D19" s="647">
        <f>F.G.P.INCREMENTO!D22+'F.G.P. ESTIMACIONES 2014'!D22</f>
        <v>12888669.013501659</v>
      </c>
      <c r="E19" s="647">
        <f>F.G.P.INCREMENTO!E22+'F.G.P. ESTIMACIONES 2014'!E22</f>
        <v>8770689.1545782536</v>
      </c>
      <c r="F19" s="647">
        <f>F.G.P.INCREMENTO!F22+'F.G.P. ESTIMACIONES 2014'!F22</f>
        <v>12391274.585300248</v>
      </c>
      <c r="G19" s="647">
        <f>F.G.P.INCREMENTO!G22+'F.G.P. ESTIMACIONES 2014'!G22</f>
        <v>8692697.8849399462</v>
      </c>
      <c r="H19" s="647">
        <f>F.G.P.INCREMENTO!H22+'F.G.P. ESTIMACIONES 2014'!H22</f>
        <v>8702668.4914803673</v>
      </c>
      <c r="I19" s="647">
        <f>F.G.P.INCREMENTO!I22+'F.G.P. ESTIMACIONES 2014'!I22</f>
        <v>9585252.3726028558</v>
      </c>
      <c r="J19" s="647">
        <f>F.G.P.INCREMENTO!J22+'F.G.P. ESTIMACIONES 2014'!J22</f>
        <v>9597742.3740688749</v>
      </c>
      <c r="K19" s="647">
        <f>F.G.P.INCREMENTO!K22+'F.G.P. ESTIMACIONES 2014'!K22</f>
        <v>9380177.8583575003</v>
      </c>
      <c r="L19" s="647">
        <f>F.G.P.INCREMENTO!L22+'F.G.P. ESTIMACIONES 2014'!L22</f>
        <v>9721326.4538804404</v>
      </c>
      <c r="M19" s="647">
        <f>F.G.P.INCREMENTO!M22+'F.G.P. ESTIMACIONES 2014'!M22</f>
        <v>8851101.2230298519</v>
      </c>
      <c r="N19" s="647">
        <f>F.G.P.INCREMENTO!N22+'F.G.P. ESTIMACIONES 2014'!N22</f>
        <v>9140197.4898942169</v>
      </c>
      <c r="O19" s="648">
        <f t="shared" si="0"/>
        <v>116969163.18925151</v>
      </c>
      <c r="P19" s="649"/>
      <c r="Q19" s="649"/>
    </row>
    <row r="20" spans="1:20" x14ac:dyDescent="0.2">
      <c r="A20" s="645" t="s">
        <v>162</v>
      </c>
      <c r="B20" s="665"/>
      <c r="C20" s="647">
        <f>F.G.P.INCREMENTO!C23+'F.G.P. ESTIMACIONES 2014'!C23</f>
        <v>4401703.6285687564</v>
      </c>
      <c r="D20" s="647">
        <f>F.G.P.INCREMENTO!D23+'F.G.P. ESTIMACIONES 2014'!D23</f>
        <v>6424412.2862053541</v>
      </c>
      <c r="E20" s="647">
        <f>F.G.P.INCREMENTO!E23+'F.G.P. ESTIMACIONES 2014'!E23</f>
        <v>4138422.6237379042</v>
      </c>
      <c r="F20" s="647">
        <f>F.G.P.INCREMENTO!F23+'F.G.P. ESTIMACIONES 2014'!F23</f>
        <v>6246440.3983226763</v>
      </c>
      <c r="G20" s="647">
        <f>F.G.P.INCREMENTO!G23+'F.G.P. ESTIMACIONES 2014'!G23</f>
        <v>4175381.7968983352</v>
      </c>
      <c r="H20" s="647">
        <f>F.G.P.INCREMENTO!H23+'F.G.P. ESTIMACIONES 2014'!H23</f>
        <v>4229876.4908044683</v>
      </c>
      <c r="I20" s="647">
        <f>F.G.P.INCREMENTO!I23+'F.G.P. ESTIMACIONES 2014'!I23</f>
        <v>4491083.7300856113</v>
      </c>
      <c r="J20" s="647">
        <f>F.G.P.INCREMENTO!J23+'F.G.P. ESTIMACIONES 2014'!J23</f>
        <v>4699189.6771178972</v>
      </c>
      <c r="K20" s="647">
        <f>F.G.P.INCREMENTO!K23+'F.G.P. ESTIMACIONES 2014'!K23</f>
        <v>4422564.1591293896</v>
      </c>
      <c r="L20" s="647">
        <f>F.G.P.INCREMENTO!L23+'F.G.P. ESTIMACIONES 2014'!L23</f>
        <v>4430388.6352450512</v>
      </c>
      <c r="M20" s="647">
        <f>F.G.P.INCREMENTO!M23+'F.G.P. ESTIMACIONES 2014'!M23</f>
        <v>4237535.8659128509</v>
      </c>
      <c r="N20" s="647">
        <f>F.G.P.INCREMENTO!N23+'F.G.P. ESTIMACIONES 2014'!N23</f>
        <v>4266708.8384972326</v>
      </c>
      <c r="O20" s="648">
        <f t="shared" si="0"/>
        <v>56163708.130525529</v>
      </c>
      <c r="P20" s="649"/>
      <c r="Q20" s="649"/>
    </row>
    <row r="21" spans="1:20" x14ac:dyDescent="0.2">
      <c r="A21" s="645" t="s">
        <v>163</v>
      </c>
      <c r="B21" s="665"/>
      <c r="C21" s="647">
        <f>F.G.P.INCREMENTO!C24+'F.G.P. ESTIMACIONES 2014'!C24</f>
        <v>40338333.136033252</v>
      </c>
      <c r="D21" s="647">
        <f>F.G.P.INCREMENTO!D24+'F.G.P. ESTIMACIONES 2014'!D24</f>
        <v>54608085.93589741</v>
      </c>
      <c r="E21" s="647">
        <f>F.G.P.INCREMENTO!E24+'F.G.P. ESTIMACIONES 2014'!E24</f>
        <v>38461890.452793688</v>
      </c>
      <c r="F21" s="647">
        <f>F.G.P.INCREMENTO!F24+'F.G.P. ESTIMACIONES 2014'!F24</f>
        <v>52110577.647306859</v>
      </c>
      <c r="G21" s="647">
        <f>F.G.P.INCREMENTO!G24+'F.G.P. ESTIMACIONES 2014'!G24</f>
        <v>37708578.314919561</v>
      </c>
      <c r="H21" s="647">
        <f>F.G.P.INCREMENTO!H24+'F.G.P. ESTIMACIONES 2014'!H24</f>
        <v>37474660.392244697</v>
      </c>
      <c r="I21" s="647">
        <f>F.G.P.INCREMENTO!I24+'F.G.P. ESTIMACIONES 2014'!I24</f>
        <v>42210675.040660277</v>
      </c>
      <c r="J21" s="647">
        <f>F.G.P.INCREMENTO!J24+'F.G.P. ESTIMACIONES 2014'!J24</f>
        <v>41137860.184089392</v>
      </c>
      <c r="K21" s="647">
        <f>F.G.P.INCREMENTO!K24+'F.G.P. ESTIMACIONES 2014'!K24</f>
        <v>41153870.123059109</v>
      </c>
      <c r="L21" s="647">
        <f>F.G.P.INCREMENTO!L24+'F.G.P. ESTIMACIONES 2014'!L24</f>
        <v>43503877.318875462</v>
      </c>
      <c r="M21" s="647">
        <f>F.G.P.INCREMENTO!M24+'F.G.P. ESTIMACIONES 2014'!M24</f>
        <v>38473414.729336306</v>
      </c>
      <c r="N21" s="647">
        <f>F.G.P.INCREMENTO!N24+'F.G.P. ESTIMACIONES 2014'!N24</f>
        <v>40339156.994324706</v>
      </c>
      <c r="O21" s="648">
        <f t="shared" si="0"/>
        <v>507520980.26954073</v>
      </c>
      <c r="P21" s="649"/>
      <c r="Q21" s="649"/>
      <c r="T21" s="649"/>
    </row>
    <row r="22" spans="1:20" x14ac:dyDescent="0.2">
      <c r="A22" s="645" t="s">
        <v>164</v>
      </c>
      <c r="B22" s="665"/>
      <c r="C22" s="647">
        <f>F.G.P.INCREMENTO!C25+'F.G.P. ESTIMACIONES 2014'!C25</f>
        <v>4611032.1666628439</v>
      </c>
      <c r="D22" s="647">
        <f>F.G.P.INCREMENTO!D25+'F.G.P. ESTIMACIONES 2014'!D25</f>
        <v>6653806.7578070611</v>
      </c>
      <c r="E22" s="647">
        <f>F.G.P.INCREMENTO!E25+'F.G.P. ESTIMACIONES 2014'!E25</f>
        <v>4344799.3676950755</v>
      </c>
      <c r="F22" s="647">
        <f>F.G.P.INCREMENTO!F25+'F.G.P. ESTIMACIONES 2014'!F25</f>
        <v>6451911.1759572802</v>
      </c>
      <c r="G22" s="647">
        <f>F.G.P.INCREMENTO!G25+'F.G.P. ESTIMACIONES 2014'!G25</f>
        <v>4364033.1793566747</v>
      </c>
      <c r="H22" s="647">
        <f>F.G.P.INCREMENTO!H25+'F.G.P. ESTIMACIONES 2014'!H25</f>
        <v>4408036.0157238003</v>
      </c>
      <c r="I22" s="647">
        <f>F.G.P.INCREMENTO!I25+'F.G.P. ESTIMACIONES 2014'!I25</f>
        <v>4723454.0456730071</v>
      </c>
      <c r="J22" s="647">
        <f>F.G.P.INCREMENTO!J25+'F.G.P. ESTIMACIONES 2014'!J25</f>
        <v>4888290.4636573577</v>
      </c>
      <c r="K22" s="647">
        <f>F.G.P.INCREMENTO!K25+'F.G.P. ESTIMACIONES 2014'!K25</f>
        <v>4644024.2582595116</v>
      </c>
      <c r="L22" s="647">
        <f>F.G.P.INCREMENTO!L25+'F.G.P. ESTIMACIONES 2014'!L25</f>
        <v>4692868.7571289623</v>
      </c>
      <c r="M22" s="647">
        <f>F.G.P.INCREMENTO!M25+'F.G.P. ESTIMACIONES 2014'!M25</f>
        <v>4432626.4157027006</v>
      </c>
      <c r="N22" s="647">
        <f>F.G.P.INCREMENTO!N25+'F.G.P. ESTIMACIONES 2014'!N25</f>
        <v>4491704.2065060604</v>
      </c>
      <c r="O22" s="648">
        <f t="shared" si="0"/>
        <v>58706586.810130335</v>
      </c>
      <c r="P22" s="649"/>
      <c r="Q22" s="649"/>
      <c r="T22" s="649"/>
    </row>
    <row r="23" spans="1:20" ht="13.5" thickBot="1" x14ac:dyDescent="0.25">
      <c r="A23" s="645" t="s">
        <v>165</v>
      </c>
      <c r="B23" s="665"/>
      <c r="C23" s="647">
        <f>F.G.P.INCREMENTO!C26+'F.G.P. ESTIMACIONES 2014'!C26</f>
        <v>4497156.9945961386</v>
      </c>
      <c r="D23" s="647">
        <f>F.G.P.INCREMENTO!D26+'F.G.P. ESTIMACIONES 2014'!D26</f>
        <v>6856951.8073758231</v>
      </c>
      <c r="E23" s="647">
        <f>F.G.P.INCREMENTO!E26+'F.G.P. ESTIMACIONES 2014'!E26</f>
        <v>4191309.4335170132</v>
      </c>
      <c r="F23" s="647">
        <f>F.G.P.INCREMENTO!F26+'F.G.P. ESTIMACIONES 2014'!F26</f>
        <v>6734669.0915784119</v>
      </c>
      <c r="G23" s="647">
        <f>F.G.P.INCREMENTO!G26+'F.G.P. ESTIMACIONES 2014'!G26</f>
        <v>4304114.3266048599</v>
      </c>
      <c r="H23" s="647">
        <f>F.G.P.INCREMENTO!H26+'F.G.P. ESTIMACIONES 2014'!H26</f>
        <v>4410185.23091699</v>
      </c>
      <c r="I23" s="647">
        <f>F.G.P.INCREMENTO!I26+'F.G.P. ESTIMACIONES 2014'!I26</f>
        <v>4516095.8003184777</v>
      </c>
      <c r="J23" s="647">
        <f>F.G.P.INCREMENTO!J26+'F.G.P. ESTIMACIONES 2014'!J26</f>
        <v>4933499.4224142749</v>
      </c>
      <c r="K23" s="647">
        <f>F.G.P.INCREMENTO!K26+'F.G.P. ESTIMACIONES 2014'!K26</f>
        <v>4475562.9435659796</v>
      </c>
      <c r="L23" s="647">
        <f>F.G.P.INCREMENTO!L26+'F.G.P. ESTIMACIONES 2014'!L26</f>
        <v>4326990.2421266474</v>
      </c>
      <c r="M23" s="647">
        <f>F.G.P.INCREMENTO!M26+'F.G.P. ESTIMACIONES 2014'!M26</f>
        <v>4354199.1320244977</v>
      </c>
      <c r="N23" s="647">
        <f>F.G.P.INCREMENTO!N26+'F.G.P. ESTIMACIONES 2014'!N26</f>
        <v>4274161.7436839575</v>
      </c>
      <c r="O23" s="648">
        <f t="shared" si="0"/>
        <v>57874896.168723069</v>
      </c>
      <c r="P23" s="649"/>
      <c r="Q23" s="649"/>
      <c r="T23" s="649"/>
    </row>
    <row r="24" spans="1:20" ht="13.5" thickBot="1" x14ac:dyDescent="0.25">
      <c r="A24" s="650" t="s">
        <v>288</v>
      </c>
      <c r="B24" s="666">
        <f>SUM(B4:B23)</f>
        <v>0</v>
      </c>
      <c r="C24" s="652">
        <f>SUM(C4:C23)</f>
        <v>121675646.1083338</v>
      </c>
      <c r="D24" s="652">
        <f t="shared" ref="D24:N24" si="1">SUM(D4:D23)</f>
        <v>175586606.83260933</v>
      </c>
      <c r="E24" s="652">
        <f t="shared" si="1"/>
        <v>114649513.1251826</v>
      </c>
      <c r="F24" s="652">
        <f t="shared" si="1"/>
        <v>170260286.5820879</v>
      </c>
      <c r="G24" s="652">
        <f t="shared" si="1"/>
        <v>115158677.62286505</v>
      </c>
      <c r="H24" s="652">
        <f t="shared" si="1"/>
        <v>116320912.31928672</v>
      </c>
      <c r="I24" s="652">
        <f t="shared" si="1"/>
        <v>124640661.90524125</v>
      </c>
      <c r="J24" s="652">
        <f t="shared" si="1"/>
        <v>128994786.75200514</v>
      </c>
      <c r="K24" s="652">
        <f t="shared" si="1"/>
        <v>122545311.06525855</v>
      </c>
      <c r="L24" s="652">
        <f t="shared" si="1"/>
        <v>123830829.04549503</v>
      </c>
      <c r="M24" s="652">
        <f t="shared" si="1"/>
        <v>116968421.59762724</v>
      </c>
      <c r="N24" s="652">
        <f t="shared" si="1"/>
        <v>118524986.09400751</v>
      </c>
      <c r="O24" s="652">
        <f>SUM(C24:N24)</f>
        <v>1549156639.05</v>
      </c>
      <c r="P24" s="649"/>
      <c r="Q24" s="649"/>
      <c r="T24" s="649"/>
    </row>
    <row r="25" spans="1:20" x14ac:dyDescent="0.2">
      <c r="A25" s="654" t="s">
        <v>289</v>
      </c>
    </row>
  </sheetData>
  <mergeCells count="1">
    <mergeCell ref="A1:O1"/>
  </mergeCells>
  <printOptions horizontalCentered="1"/>
  <pageMargins left="0.78740157480314965" right="0.78740157480314965" top="0.98425196850393704" bottom="0.98425196850393704" header="0" footer="0"/>
  <pageSetup paperSize="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AU87"/>
  <sheetViews>
    <sheetView topLeftCell="S1" zoomScale="90" zoomScaleNormal="90" workbookViewId="0">
      <selection activeCell="V15" sqref="V15"/>
    </sheetView>
  </sheetViews>
  <sheetFormatPr baseColWidth="10" defaultRowHeight="15" x14ac:dyDescent="0.25"/>
  <cols>
    <col min="1" max="1" width="20.42578125" customWidth="1"/>
    <col min="2" max="2" width="19.7109375" hidden="1" customWidth="1"/>
    <col min="3" max="3" width="15.85546875" hidden="1" customWidth="1"/>
    <col min="4" max="4" width="12.7109375" hidden="1" customWidth="1"/>
    <col min="5" max="7" width="14.85546875" hidden="1" customWidth="1"/>
    <col min="8" max="8" width="18.85546875" style="9" hidden="1" customWidth="1"/>
    <col min="9" max="9" width="18.5703125" hidden="1" customWidth="1"/>
    <col min="10" max="11" width="19.42578125" hidden="1" customWidth="1"/>
    <col min="12" max="12" width="18.42578125" hidden="1" customWidth="1"/>
    <col min="13" max="13" width="15.42578125" hidden="1" customWidth="1"/>
    <col min="14" max="16" width="14.42578125" hidden="1" customWidth="1"/>
    <col min="17" max="17" width="18.85546875" hidden="1" customWidth="1"/>
    <col min="18" max="18" width="19" hidden="1" customWidth="1"/>
    <col min="19" max="19" width="12.140625" customWidth="1"/>
    <col min="20" max="20" width="14.28515625" customWidth="1"/>
    <col min="21" max="21" width="12.140625" customWidth="1"/>
    <col min="22" max="22" width="16.7109375" customWidth="1"/>
    <col min="23" max="27" width="12.140625" customWidth="1"/>
    <col min="28" max="28" width="15.42578125" customWidth="1"/>
    <col min="29" max="29" width="15.140625" customWidth="1"/>
    <col min="30" max="33" width="12.140625" customWidth="1"/>
    <col min="34" max="37" width="12.140625" style="11" customWidth="1"/>
    <col min="38" max="39" width="12.140625" customWidth="1"/>
    <col min="40" max="41" width="11.42578125" customWidth="1"/>
  </cols>
  <sheetData>
    <row r="1" spans="1:47" ht="18" x14ac:dyDescent="0.25">
      <c r="A1" s="990" t="s">
        <v>432</v>
      </c>
      <c r="B1" s="990"/>
      <c r="C1" s="990"/>
      <c r="D1" s="990"/>
      <c r="E1" s="990"/>
      <c r="F1" s="990"/>
      <c r="G1" s="990"/>
      <c r="H1" s="990"/>
      <c r="I1" s="990"/>
      <c r="J1" s="990"/>
      <c r="K1" s="990"/>
      <c r="L1" s="990"/>
      <c r="M1" s="990"/>
      <c r="N1" s="990"/>
      <c r="O1" s="990"/>
      <c r="P1" s="990"/>
      <c r="Q1" s="990"/>
      <c r="R1" s="990"/>
      <c r="S1" s="990"/>
      <c r="T1" s="990"/>
      <c r="U1" s="990"/>
      <c r="V1" s="990"/>
      <c r="W1" s="990"/>
      <c r="X1" s="990"/>
      <c r="Y1" s="990"/>
      <c r="Z1" s="990"/>
      <c r="AA1" s="990"/>
      <c r="AB1" s="990"/>
      <c r="AC1" s="990"/>
      <c r="AD1" s="990"/>
      <c r="AE1" s="990"/>
      <c r="AF1" s="990"/>
      <c r="AG1" s="990"/>
      <c r="AH1" s="990"/>
      <c r="AI1" s="990"/>
      <c r="AJ1" s="934"/>
      <c r="AK1" s="934"/>
    </row>
    <row r="2" spans="1:47" x14ac:dyDescent="0.25">
      <c r="A2" s="980" t="s">
        <v>276</v>
      </c>
      <c r="B2" s="980"/>
      <c r="C2" s="980"/>
      <c r="D2" s="980"/>
      <c r="E2" s="980"/>
      <c r="F2" s="980"/>
      <c r="G2" s="980"/>
      <c r="H2" s="980"/>
      <c r="I2" s="980"/>
      <c r="J2" s="980"/>
      <c r="K2" s="980"/>
      <c r="L2" s="980"/>
      <c r="M2" s="980"/>
      <c r="N2" s="980"/>
      <c r="O2" s="980"/>
      <c r="P2" s="980"/>
      <c r="Q2" s="980"/>
      <c r="R2" s="980"/>
      <c r="S2" s="980"/>
      <c r="T2" s="980"/>
      <c r="U2" s="980"/>
      <c r="V2" s="980"/>
      <c r="W2" s="980"/>
      <c r="X2" s="980"/>
      <c r="Y2" s="980"/>
      <c r="Z2" s="980"/>
      <c r="AA2" s="980"/>
      <c r="AB2" s="980"/>
      <c r="AC2" s="980"/>
      <c r="AD2" s="980"/>
      <c r="AE2" s="980"/>
      <c r="AF2" s="980"/>
      <c r="AG2" s="980"/>
      <c r="AH2" s="980"/>
      <c r="AI2" s="980"/>
      <c r="AJ2" s="933"/>
      <c r="AK2" s="933"/>
    </row>
    <row r="3" spans="1:47" ht="15.75" thickBot="1" x14ac:dyDescent="0.3">
      <c r="A3" s="980"/>
      <c r="B3" s="980"/>
      <c r="C3" s="980"/>
      <c r="D3" s="980"/>
      <c r="E3" s="980"/>
      <c r="F3" s="980"/>
      <c r="G3" s="980"/>
      <c r="H3" s="980"/>
      <c r="I3" s="980"/>
      <c r="J3" s="980"/>
      <c r="K3" s="980"/>
      <c r="L3" s="980"/>
      <c r="M3" s="980"/>
      <c r="N3" s="980"/>
      <c r="O3" s="980"/>
      <c r="P3" s="980"/>
      <c r="Q3" s="980"/>
      <c r="R3" s="980"/>
      <c r="S3" s="980"/>
      <c r="T3" s="980"/>
      <c r="U3" s="10"/>
      <c r="V3" s="10"/>
    </row>
    <row r="4" spans="1:47" ht="47.25" customHeight="1" thickBot="1" x14ac:dyDescent="0.3">
      <c r="A4" s="986" t="s">
        <v>234</v>
      </c>
      <c r="B4" s="13"/>
      <c r="C4" s="13"/>
      <c r="D4" s="13"/>
      <c r="E4" s="13"/>
      <c r="F4" s="13"/>
      <c r="G4" s="13"/>
      <c r="H4" s="13"/>
      <c r="I4" s="14"/>
      <c r="J4" s="15"/>
      <c r="K4" s="15"/>
      <c r="L4" s="15"/>
      <c r="M4" s="15"/>
      <c r="N4" s="15"/>
      <c r="O4" s="15"/>
      <c r="P4" s="15"/>
      <c r="Q4" s="15"/>
      <c r="R4" s="15"/>
      <c r="S4" s="977" t="s">
        <v>270</v>
      </c>
      <c r="T4" s="979"/>
      <c r="U4" s="977" t="s">
        <v>183</v>
      </c>
      <c r="V4" s="989"/>
      <c r="W4" s="979"/>
      <c r="X4" s="977" t="s">
        <v>186</v>
      </c>
      <c r="Y4" s="978"/>
      <c r="Z4" s="977" t="s">
        <v>515</v>
      </c>
      <c r="AA4" s="978"/>
      <c r="AB4" s="977" t="s">
        <v>303</v>
      </c>
      <c r="AC4" s="979"/>
      <c r="AD4" s="977" t="s">
        <v>304</v>
      </c>
      <c r="AE4" s="979"/>
      <c r="AF4" s="984" t="s">
        <v>275</v>
      </c>
      <c r="AG4" s="985"/>
      <c r="AH4" s="970" t="s">
        <v>274</v>
      </c>
      <c r="AI4" s="971"/>
      <c r="AJ4" s="970" t="s">
        <v>517</v>
      </c>
      <c r="AK4" s="971"/>
      <c r="AL4" s="970" t="s">
        <v>516</v>
      </c>
      <c r="AM4" s="971"/>
      <c r="AN4" s="107"/>
      <c r="AO4" s="107"/>
      <c r="AP4" s="107"/>
      <c r="AQ4" s="107"/>
      <c r="AR4" s="107"/>
      <c r="AS4" s="107"/>
      <c r="AT4" s="107"/>
      <c r="AU4" s="156"/>
    </row>
    <row r="5" spans="1:47" ht="15.75" customHeight="1" x14ac:dyDescent="0.25">
      <c r="A5" s="987"/>
      <c r="B5" s="991" t="s">
        <v>14</v>
      </c>
      <c r="C5" s="16"/>
      <c r="D5" s="17"/>
      <c r="E5" s="993" t="s">
        <v>15</v>
      </c>
      <c r="F5" s="993"/>
      <c r="G5" s="993"/>
      <c r="H5" s="993"/>
      <c r="I5" s="991" t="s">
        <v>16</v>
      </c>
      <c r="J5" s="991"/>
      <c r="K5" s="991"/>
      <c r="L5" s="991"/>
      <c r="M5" s="991" t="s">
        <v>17</v>
      </c>
      <c r="N5" s="991" t="s">
        <v>18</v>
      </c>
      <c r="O5" s="991"/>
      <c r="P5" s="991"/>
      <c r="Q5" s="991"/>
      <c r="R5" s="999"/>
      <c r="S5" s="972" t="s">
        <v>271</v>
      </c>
      <c r="T5" s="1000" t="s">
        <v>272</v>
      </c>
      <c r="U5" s="972" t="s">
        <v>271</v>
      </c>
      <c r="V5" s="1002" t="s">
        <v>273</v>
      </c>
      <c r="W5" s="975" t="s">
        <v>272</v>
      </c>
      <c r="X5" s="972" t="s">
        <v>271</v>
      </c>
      <c r="Y5" s="975" t="s">
        <v>272</v>
      </c>
      <c r="Z5" s="972" t="s">
        <v>271</v>
      </c>
      <c r="AA5" s="975" t="s">
        <v>272</v>
      </c>
      <c r="AB5" s="972" t="s">
        <v>271</v>
      </c>
      <c r="AC5" s="975" t="s">
        <v>272</v>
      </c>
      <c r="AD5" s="972" t="s">
        <v>271</v>
      </c>
      <c r="AE5" s="975" t="s">
        <v>272</v>
      </c>
      <c r="AF5" s="981" t="s">
        <v>271</v>
      </c>
      <c r="AG5" s="975" t="s">
        <v>272</v>
      </c>
      <c r="AH5" s="972" t="s">
        <v>271</v>
      </c>
      <c r="AI5" s="975" t="s">
        <v>272</v>
      </c>
      <c r="AJ5" s="972" t="s">
        <v>271</v>
      </c>
      <c r="AK5" s="975" t="s">
        <v>272</v>
      </c>
      <c r="AL5" s="972" t="s">
        <v>271</v>
      </c>
      <c r="AM5" s="975" t="s">
        <v>272</v>
      </c>
    </row>
    <row r="6" spans="1:47" ht="15.75" customHeight="1" x14ac:dyDescent="0.25">
      <c r="A6" s="987"/>
      <c r="B6" s="992"/>
      <c r="C6" s="18" t="s">
        <v>20</v>
      </c>
      <c r="D6" s="995" t="s">
        <v>21</v>
      </c>
      <c r="E6" s="995"/>
      <c r="F6" s="18" t="s">
        <v>22</v>
      </c>
      <c r="G6" s="18" t="s">
        <v>23</v>
      </c>
      <c r="H6" s="19" t="s">
        <v>24</v>
      </c>
      <c r="I6" s="996" t="s">
        <v>25</v>
      </c>
      <c r="J6" s="991" t="s">
        <v>26</v>
      </c>
      <c r="K6" s="18" t="s">
        <v>23</v>
      </c>
      <c r="L6" s="991" t="s">
        <v>27</v>
      </c>
      <c r="M6" s="992"/>
      <c r="N6" s="996" t="s">
        <v>28</v>
      </c>
      <c r="O6" s="20"/>
      <c r="P6" s="20"/>
      <c r="Q6" s="18" t="s">
        <v>22</v>
      </c>
      <c r="R6" s="21" t="s">
        <v>29</v>
      </c>
      <c r="S6" s="973"/>
      <c r="T6" s="1001"/>
      <c r="U6" s="973"/>
      <c r="V6" s="1003"/>
      <c r="W6" s="976"/>
      <c r="X6" s="973"/>
      <c r="Y6" s="976"/>
      <c r="Z6" s="973"/>
      <c r="AA6" s="976"/>
      <c r="AB6" s="973"/>
      <c r="AC6" s="976"/>
      <c r="AD6" s="973"/>
      <c r="AE6" s="976"/>
      <c r="AF6" s="982"/>
      <c r="AG6" s="976"/>
      <c r="AH6" s="973"/>
      <c r="AI6" s="976"/>
      <c r="AJ6" s="973"/>
      <c r="AK6" s="976"/>
      <c r="AL6" s="973"/>
      <c r="AM6" s="976"/>
    </row>
    <row r="7" spans="1:47" ht="15.75" customHeight="1" x14ac:dyDescent="0.25">
      <c r="A7" s="987"/>
      <c r="B7" s="992"/>
      <c r="C7" s="18" t="s">
        <v>30</v>
      </c>
      <c r="D7" s="995">
        <v>2010</v>
      </c>
      <c r="E7" s="995"/>
      <c r="F7" s="18" t="s">
        <v>31</v>
      </c>
      <c r="G7" s="18" t="s">
        <v>32</v>
      </c>
      <c r="H7" s="19" t="s">
        <v>33</v>
      </c>
      <c r="I7" s="996"/>
      <c r="J7" s="991"/>
      <c r="K7" s="18" t="s">
        <v>32</v>
      </c>
      <c r="L7" s="991"/>
      <c r="M7" s="992"/>
      <c r="N7" s="997"/>
      <c r="O7" s="23"/>
      <c r="P7" s="23"/>
      <c r="Q7" s="18" t="s">
        <v>34</v>
      </c>
      <c r="R7" s="21" t="s">
        <v>35</v>
      </c>
      <c r="S7" s="973"/>
      <c r="T7" s="1001"/>
      <c r="U7" s="973"/>
      <c r="V7" s="1003"/>
      <c r="W7" s="976"/>
      <c r="X7" s="973"/>
      <c r="Y7" s="976"/>
      <c r="Z7" s="973"/>
      <c r="AA7" s="976"/>
      <c r="AB7" s="973"/>
      <c r="AC7" s="976"/>
      <c r="AD7" s="973"/>
      <c r="AE7" s="976"/>
      <c r="AF7" s="982"/>
      <c r="AG7" s="976"/>
      <c r="AH7" s="973"/>
      <c r="AI7" s="976"/>
      <c r="AJ7" s="973"/>
      <c r="AK7" s="976"/>
      <c r="AL7" s="973"/>
      <c r="AM7" s="976"/>
    </row>
    <row r="8" spans="1:47" ht="15.75" customHeight="1" thickBot="1" x14ac:dyDescent="0.3">
      <c r="A8" s="988"/>
      <c r="B8" s="24">
        <v>2014</v>
      </c>
      <c r="C8" s="24" t="s">
        <v>36</v>
      </c>
      <c r="D8" s="25" t="s">
        <v>37</v>
      </c>
      <c r="E8" s="25" t="s">
        <v>38</v>
      </c>
      <c r="F8" s="25" t="s">
        <v>39</v>
      </c>
      <c r="G8" s="26">
        <v>0.6</v>
      </c>
      <c r="H8" s="27">
        <v>0.6</v>
      </c>
      <c r="I8" s="25" t="s">
        <v>40</v>
      </c>
      <c r="J8" s="25"/>
      <c r="K8" s="26">
        <v>0.3</v>
      </c>
      <c r="L8" s="25" t="s">
        <v>41</v>
      </c>
      <c r="M8" s="994"/>
      <c r="N8" s="998"/>
      <c r="O8" s="28"/>
      <c r="P8" s="28"/>
      <c r="Q8" s="25" t="s">
        <v>42</v>
      </c>
      <c r="R8" s="29" t="s">
        <v>43</v>
      </c>
      <c r="S8" s="974"/>
      <c r="T8" s="639" t="s">
        <v>44</v>
      </c>
      <c r="U8" s="974"/>
      <c r="V8" s="1004"/>
      <c r="W8" s="172" t="s">
        <v>44</v>
      </c>
      <c r="X8" s="974"/>
      <c r="Y8" s="172" t="s">
        <v>44</v>
      </c>
      <c r="Z8" s="974"/>
      <c r="AA8" s="172" t="s">
        <v>44</v>
      </c>
      <c r="AB8" s="974"/>
      <c r="AC8" s="172" t="s">
        <v>44</v>
      </c>
      <c r="AD8" s="974"/>
      <c r="AE8" s="172" t="s">
        <v>44</v>
      </c>
      <c r="AF8" s="983"/>
      <c r="AG8" s="173" t="s">
        <v>44</v>
      </c>
      <c r="AH8" s="974"/>
      <c r="AI8" s="172" t="s">
        <v>44</v>
      </c>
      <c r="AJ8" s="974"/>
      <c r="AK8" s="172" t="s">
        <v>44</v>
      </c>
      <c r="AL8" s="974"/>
      <c r="AM8" s="172" t="s">
        <v>44</v>
      </c>
    </row>
    <row r="9" spans="1:47" ht="27" customHeight="1" x14ac:dyDescent="0.25">
      <c r="A9" s="30" t="s">
        <v>45</v>
      </c>
      <c r="B9" s="31">
        <v>3.62</v>
      </c>
      <c r="C9" s="32">
        <f>[1]Datos!I$13*B9%</f>
        <v>35350314.182820007</v>
      </c>
      <c r="D9" s="33">
        <f>E9/E$29*100</f>
        <v>3.3707564846877225</v>
      </c>
      <c r="E9" s="34">
        <v>36572</v>
      </c>
      <c r="F9" s="35">
        <f>D9</f>
        <v>3.3707564846877225</v>
      </c>
      <c r="G9" s="35">
        <f>F9*0.6</f>
        <v>2.0224538908126335</v>
      </c>
      <c r="H9" s="36">
        <f>[1]Datos!$K$18*Consolidado!G9/100</f>
        <v>5653240.9108052226</v>
      </c>
      <c r="I9" s="33">
        <v>1.210777</v>
      </c>
      <c r="J9" s="33">
        <f>I9/$I$29*100</f>
        <v>5.6616379474610792</v>
      </c>
      <c r="K9" s="33">
        <f>J9*0.3</f>
        <v>1.6984913842383238</v>
      </c>
      <c r="L9" s="34">
        <f>[1]Datos!$K$18*Consolidado!K9/100</f>
        <v>4747688.4509679256</v>
      </c>
      <c r="M9" s="37">
        <f>H9+L9</f>
        <v>10400929.361773148</v>
      </c>
      <c r="N9" s="33">
        <f>K9+G9</f>
        <v>3.7209452750509575</v>
      </c>
      <c r="O9" s="33">
        <f>1/N9</f>
        <v>0.26874891353684455</v>
      </c>
      <c r="P9" s="33">
        <f>O9/$O$29*100</f>
        <v>4.2169783378374488</v>
      </c>
      <c r="Q9" s="33">
        <f>P9*0.1</f>
        <v>0.42169783378374492</v>
      </c>
      <c r="R9" s="38">
        <f>Q9*[1]Datos!$K$18/100</f>
        <v>1178746.0059157736</v>
      </c>
      <c r="S9" s="174">
        <f>FGP!U8</f>
        <v>3.6689125344346443</v>
      </c>
      <c r="T9" s="175">
        <f>FGP!T8</f>
        <v>56359557.505993046</v>
      </c>
      <c r="U9" s="176">
        <f>FFM!S8</f>
        <v>2.2335835696521222</v>
      </c>
      <c r="V9" s="177">
        <f>FFM!N8</f>
        <v>0</v>
      </c>
      <c r="W9" s="178">
        <f>FFM!Q8</f>
        <v>17211345.18063613</v>
      </c>
      <c r="X9" s="381">
        <f>FOFIR!I8</f>
        <v>0.21788802895341344</v>
      </c>
      <c r="Y9" s="178">
        <f>FOFIR!K8</f>
        <v>1660421.1584494608</v>
      </c>
      <c r="Z9" s="936">
        <f>FOCO!J8</f>
        <v>3.1012197296055257</v>
      </c>
      <c r="AA9" s="935">
        <f>FOCO!L8</f>
        <v>3756648.7713249698</v>
      </c>
      <c r="AB9" s="381">
        <f>'IEPS TyA'!E9</f>
        <v>0.05</v>
      </c>
      <c r="AC9" s="178">
        <f>'IEPS TyA'!G9</f>
        <v>1240049.7675000001</v>
      </c>
      <c r="AD9" s="381">
        <f>'IEPS GyD '!F9</f>
        <v>3.0136241193535018</v>
      </c>
      <c r="AE9" s="178">
        <f>'IEPS GyD '!H9</f>
        <v>1962695.9298720472</v>
      </c>
      <c r="AF9" s="384">
        <f>FGP!F8+FGP!L8+FGP!R8</f>
        <v>3.6689125344346443</v>
      </c>
      <c r="AG9" s="336">
        <f>'Incentivo ISAN'!J8</f>
        <v>343539.57816181867</v>
      </c>
      <c r="AH9" s="40">
        <f>FGP!F8+FGP!L8+FGP!R8</f>
        <v>3.6689125344346443</v>
      </c>
      <c r="AI9" s="39">
        <f>'FOCO ISAN'!J8</f>
        <v>96258.617466165102</v>
      </c>
      <c r="AJ9" s="942">
        <f>'ISR 2022'!B4</f>
        <v>4.5425308276994523</v>
      </c>
      <c r="AK9" s="941">
        <f>'ISR 2022'!O4</f>
        <v>8309954.269603271</v>
      </c>
      <c r="AL9" s="40">
        <f>'ISR Enaje'!T9</f>
        <v>3.6689125344346443</v>
      </c>
      <c r="AM9" s="39">
        <f>'ISR Enaje'!S9</f>
        <v>1284119.3870521255</v>
      </c>
      <c r="AN9" s="41"/>
    </row>
    <row r="10" spans="1:47" ht="27" customHeight="1" x14ac:dyDescent="0.25">
      <c r="A10" s="42" t="s">
        <v>46</v>
      </c>
      <c r="B10" s="43">
        <v>2.4700000000000002</v>
      </c>
      <c r="C10" s="44">
        <f>[1]Datos!I$13*B10%</f>
        <v>24120241.997670002</v>
      </c>
      <c r="D10" s="45">
        <f t="shared" ref="D10:D28" si="0">E10/E$29*100</f>
        <v>1.4036216369164749</v>
      </c>
      <c r="E10" s="46">
        <v>15229</v>
      </c>
      <c r="F10" s="47">
        <f t="shared" ref="F10:F29" si="1">D10</f>
        <v>1.4036216369164749</v>
      </c>
      <c r="G10" s="47">
        <f t="shared" ref="G10:G28" si="2">F10*0.6</f>
        <v>0.8421729821498849</v>
      </c>
      <c r="H10" s="48">
        <f>[1]Datos!$K$18*Consolidado!G10/100</f>
        <v>2354074.314520746</v>
      </c>
      <c r="I10" s="45">
        <v>1.1581699999999999</v>
      </c>
      <c r="J10" s="45">
        <f t="shared" ref="J10:J28" si="3">I10/$I$29*100</f>
        <v>5.4156456734898315</v>
      </c>
      <c r="K10" s="45">
        <f t="shared" ref="K10:K28" si="4">J10*0.3</f>
        <v>1.6246937020469494</v>
      </c>
      <c r="L10" s="49">
        <f>[1]Datos!$K$18*Consolidado!K10/100</f>
        <v>4541406.3310234025</v>
      </c>
      <c r="M10" s="50">
        <f t="shared" ref="M10:M29" si="5">H10+L10</f>
        <v>6895480.645544149</v>
      </c>
      <c r="N10" s="45">
        <f t="shared" ref="N10:N28" si="6">K10+G10</f>
        <v>2.4668666841968343</v>
      </c>
      <c r="O10" s="45">
        <f t="shared" ref="O10:O28" si="7">1/N10</f>
        <v>0.40537253448115756</v>
      </c>
      <c r="P10" s="45">
        <f t="shared" ref="P10:P28" si="8">O10/$O$29*100</f>
        <v>6.3607594693659895</v>
      </c>
      <c r="Q10" s="45">
        <f t="shared" ref="Q10:Q28" si="9">P10*0.1</f>
        <v>0.63607594693659897</v>
      </c>
      <c r="R10" s="51">
        <f>Q10*[1]Datos!$K$18/100</f>
        <v>1777983.9540155372</v>
      </c>
      <c r="S10" s="174">
        <f>FGP!U9</f>
        <v>3.0189415127607973</v>
      </c>
      <c r="T10" s="175">
        <f>FGP!T9</f>
        <v>41407565.20985806</v>
      </c>
      <c r="U10" s="176">
        <f>FFM!S9</f>
        <v>0.95933399607646486</v>
      </c>
      <c r="V10" s="177">
        <f>FFM!N9</f>
        <v>0</v>
      </c>
      <c r="W10" s="178">
        <f>FFM!Q9</f>
        <v>11350320.740171803</v>
      </c>
      <c r="X10" s="381">
        <f>FOFIR!I9</f>
        <v>4.1692121840598097E-2</v>
      </c>
      <c r="Y10" s="178">
        <f>FOFIR!K9</f>
        <v>666642.80877528735</v>
      </c>
      <c r="Z10" s="936">
        <f>FOCO!J9</f>
        <v>3.2708002668738683</v>
      </c>
      <c r="AA10" s="937">
        <f>FOCO!L9</f>
        <v>2149440.8922501518</v>
      </c>
      <c r="AB10" s="381">
        <f>'IEPS TyA'!E10</f>
        <v>0.05</v>
      </c>
      <c r="AC10" s="178">
        <f>'IEPS TyA'!G10</f>
        <v>1619273.7675000001</v>
      </c>
      <c r="AD10" s="381">
        <f>'IEPS GyD '!F10</f>
        <v>1.2459367229589724</v>
      </c>
      <c r="AE10" s="178">
        <f>'IEPS GyD '!H10</f>
        <v>804046.42550750496</v>
      </c>
      <c r="AF10" s="385">
        <f>FGP!F9+FGP!L9+FGP!R9</f>
        <v>3.0189415127607973</v>
      </c>
      <c r="AG10" s="336">
        <f>'Incentivo ISAN'!J9</f>
        <v>282679.37271741522</v>
      </c>
      <c r="AH10" s="40">
        <f>FGP!F9+FGP!L9+FGP!R9</f>
        <v>3.0189415127607973</v>
      </c>
      <c r="AI10" s="39">
        <f>'FOCO ISAN'!J9</f>
        <v>79205.795587151224</v>
      </c>
      <c r="AJ10" s="942">
        <f>'ISR 2022'!B5</f>
        <v>7.1560258851053993E-2</v>
      </c>
      <c r="AK10" s="944">
        <f>'ISR 2022'!O5</f>
        <v>130909.94890933872</v>
      </c>
      <c r="AL10" s="40">
        <f>'ISR Enaje'!T10</f>
        <v>3.0189415127607973</v>
      </c>
      <c r="AM10" s="39">
        <f>'ISR Enaje'!S10</f>
        <v>1056629.5294662791</v>
      </c>
      <c r="AN10" s="41"/>
    </row>
    <row r="11" spans="1:47" ht="27" customHeight="1" x14ac:dyDescent="0.25">
      <c r="A11" s="42" t="s">
        <v>47</v>
      </c>
      <c r="B11" s="43">
        <v>2.33</v>
      </c>
      <c r="C11" s="44">
        <f>[1]Datos!I$13*B11%</f>
        <v>22753102.77513</v>
      </c>
      <c r="D11" s="45">
        <f t="shared" si="0"/>
        <v>1.0311720319010782</v>
      </c>
      <c r="E11" s="49">
        <v>11188</v>
      </c>
      <c r="F11" s="47">
        <f t="shared" si="1"/>
        <v>1.0311720319010782</v>
      </c>
      <c r="G11" s="47">
        <f t="shared" si="2"/>
        <v>0.61870321914064685</v>
      </c>
      <c r="H11" s="48">
        <f>[1]Datos!$K$18*Consolidado!G11/100</f>
        <v>1729423.0370252877</v>
      </c>
      <c r="I11" s="45">
        <v>1.096811</v>
      </c>
      <c r="J11" s="45">
        <f t="shared" si="3"/>
        <v>5.1287287244411921</v>
      </c>
      <c r="K11" s="45">
        <f t="shared" si="4"/>
        <v>1.5386186173323575</v>
      </c>
      <c r="L11" s="49">
        <f>[1]Datos!$K$18*Consolidado!K11/100</f>
        <v>4300805.943286485</v>
      </c>
      <c r="M11" s="50">
        <f t="shared" si="5"/>
        <v>6030228.9803117728</v>
      </c>
      <c r="N11" s="45">
        <f t="shared" si="6"/>
        <v>2.1573218364730042</v>
      </c>
      <c r="O11" s="45">
        <f t="shared" si="7"/>
        <v>0.46353769896238362</v>
      </c>
      <c r="P11" s="45">
        <f t="shared" si="8"/>
        <v>7.2734375353201246</v>
      </c>
      <c r="Q11" s="45">
        <f t="shared" si="9"/>
        <v>0.72734375353201253</v>
      </c>
      <c r="R11" s="51">
        <f>Q11*[1]Datos!$K$18/100</f>
        <v>2033099.2376956686</v>
      </c>
      <c r="S11" s="174">
        <f>FGP!U10</f>
        <v>2.9158506739591776</v>
      </c>
      <c r="T11" s="175">
        <f>FGP!T10</f>
        <v>39450098.336700737</v>
      </c>
      <c r="U11" s="176">
        <f>FFM!S10</f>
        <v>0.70155704419789178</v>
      </c>
      <c r="V11" s="177">
        <f>FFM!N10</f>
        <v>0</v>
      </c>
      <c r="W11" s="178">
        <f>FFM!Q10</f>
        <v>10565303.213611988</v>
      </c>
      <c r="X11" s="381">
        <f>FOFIR!I10</f>
        <v>2.1800150526731642E-2</v>
      </c>
      <c r="Y11" s="178">
        <f>FOFIR!K10</f>
        <v>485621.35518361611</v>
      </c>
      <c r="Z11" s="936">
        <f>FOCO!J10</f>
        <v>3.8542395726001253</v>
      </c>
      <c r="AA11" s="937">
        <f>FOCO!L10</f>
        <v>2076910.2757399916</v>
      </c>
      <c r="AB11" s="381">
        <f>'IEPS TyA'!E11</f>
        <v>0.05</v>
      </c>
      <c r="AC11" s="178">
        <f>'IEPS TyA'!G11</f>
        <v>1689347.7675000001</v>
      </c>
      <c r="AD11" s="381">
        <f>'IEPS GyD '!F11</f>
        <v>0.93374430169912959</v>
      </c>
      <c r="AE11" s="178">
        <f>'IEPS GyD '!H11</f>
        <v>592216.87012795266</v>
      </c>
      <c r="AF11" s="385">
        <f>FGP!F10+FGP!L10+FGP!R10</f>
        <v>2.9158506739591776</v>
      </c>
      <c r="AG11" s="336">
        <f>'Incentivo ISAN'!J10</f>
        <v>273026.43524838018</v>
      </c>
      <c r="AH11" s="40">
        <f>FGP!F10+FGP!L10+FGP!R10</f>
        <v>2.9158506739591776</v>
      </c>
      <c r="AI11" s="39">
        <f>'FOCO ISAN'!J10</f>
        <v>76501.075449144366</v>
      </c>
      <c r="AJ11" s="942">
        <f>'ISR 2022'!B6</f>
        <v>1.6669745401552263</v>
      </c>
      <c r="AK11" s="944">
        <f>'ISR 2022'!O6</f>
        <v>3049507.581283364</v>
      </c>
      <c r="AL11" s="40">
        <f>'ISR Enaje'!T11</f>
        <v>2.9158506739591776</v>
      </c>
      <c r="AM11" s="39">
        <f>'ISR Enaje'!S11</f>
        <v>1020547.7358857121</v>
      </c>
      <c r="AN11" s="41"/>
    </row>
    <row r="12" spans="1:47" ht="27" customHeight="1" x14ac:dyDescent="0.25">
      <c r="A12" s="42" t="s">
        <v>48</v>
      </c>
      <c r="B12" s="43">
        <v>2.81</v>
      </c>
      <c r="C12" s="44">
        <f>[1]Datos!I$13*B12%</f>
        <v>27440437.252410002</v>
      </c>
      <c r="D12" s="45">
        <f t="shared" si="0"/>
        <v>11.447687005923617</v>
      </c>
      <c r="E12" s="49">
        <v>124205</v>
      </c>
      <c r="F12" s="47">
        <f t="shared" si="1"/>
        <v>11.447687005923617</v>
      </c>
      <c r="G12" s="47">
        <f t="shared" si="2"/>
        <v>6.8686122035541706</v>
      </c>
      <c r="H12" s="48">
        <f>[1]Datos!$K$18*Consolidado!G12/100</f>
        <v>19199409.037694484</v>
      </c>
      <c r="I12" s="45">
        <v>0.95977000000000001</v>
      </c>
      <c r="J12" s="45">
        <f t="shared" si="3"/>
        <v>4.4879199496147679</v>
      </c>
      <c r="K12" s="45">
        <f t="shared" si="4"/>
        <v>1.3463759848844303</v>
      </c>
      <c r="L12" s="49">
        <f>[1]Datos!$K$18*Consolidado!K12/100</f>
        <v>3763441.9423110001</v>
      </c>
      <c r="M12" s="50">
        <f t="shared" si="5"/>
        <v>22962850.980005484</v>
      </c>
      <c r="N12" s="45">
        <f t="shared" si="6"/>
        <v>8.2149881884386016</v>
      </c>
      <c r="O12" s="45">
        <f t="shared" si="7"/>
        <v>0.12172872036594699</v>
      </c>
      <c r="P12" s="45">
        <f t="shared" si="8"/>
        <v>1.9100630775405734</v>
      </c>
      <c r="Q12" s="45">
        <f t="shared" si="9"/>
        <v>0.19100630775405736</v>
      </c>
      <c r="R12" s="51">
        <f>Q12*[1]Datos!$K$18/100</f>
        <v>533908.17863502365</v>
      </c>
      <c r="S12" s="174">
        <f>FGP!U11</f>
        <v>10.636056638976944</v>
      </c>
      <c r="T12" s="175">
        <f>FGP!T11</f>
        <v>88345541.920365751</v>
      </c>
      <c r="U12" s="176">
        <f>FFM!S11</f>
        <v>28.518752621973793</v>
      </c>
      <c r="V12" s="177">
        <f>FFM!N11</f>
        <v>0</v>
      </c>
      <c r="W12" s="178">
        <f>FFM!Q11</f>
        <v>32017246.947854891</v>
      </c>
      <c r="X12" s="381">
        <f>FOFIR!I11</f>
        <v>31.61505618590618</v>
      </c>
      <c r="Y12" s="178">
        <f>FOFIR!K11</f>
        <v>11363030.397877766</v>
      </c>
      <c r="Z12" s="936">
        <f>FOCO!J11</f>
        <v>10.827867411712226</v>
      </c>
      <c r="AA12" s="937">
        <f>FOCO!L11</f>
        <v>8818687.4335113466</v>
      </c>
      <c r="AB12" s="381">
        <f>'IEPS TyA'!E12</f>
        <v>0.05</v>
      </c>
      <c r="AC12" s="178">
        <f>'IEPS TyA'!G12</f>
        <v>1475003.7675000001</v>
      </c>
      <c r="AD12" s="381">
        <f>'IEPS GyD '!F12</f>
        <v>15.187266887691669</v>
      </c>
      <c r="AE12" s="178">
        <f>'IEPS GyD '!H12</f>
        <v>6169232.6694389759</v>
      </c>
      <c r="AF12" s="385">
        <f>FGP!F11+FGP!L11+FGP!R11</f>
        <v>10.636056638976944</v>
      </c>
      <c r="AG12" s="336">
        <f>'Incentivo ISAN'!J11</f>
        <v>995909.92610631825</v>
      </c>
      <c r="AH12" s="40">
        <f>FGP!F11+FGP!L11+FGP!R11</f>
        <v>10.636056638976944</v>
      </c>
      <c r="AI12" s="39">
        <f>'FOCO ISAN'!J11</f>
        <v>279050.56273507222</v>
      </c>
      <c r="AJ12" s="942">
        <f>'ISR 2022'!B7</f>
        <v>15.471570707791113</v>
      </c>
      <c r="AK12" s="944">
        <f>'ISR 2022'!O7</f>
        <v>28303175.022323508</v>
      </c>
      <c r="AL12" s="40">
        <f>'ISR Enaje'!T12</f>
        <v>10.636056638976944</v>
      </c>
      <c r="AM12" s="39">
        <f>'ISR Enaje'!S12</f>
        <v>3722619.8236419307</v>
      </c>
      <c r="AN12" s="41"/>
    </row>
    <row r="13" spans="1:47" ht="27" customHeight="1" x14ac:dyDescent="0.25">
      <c r="A13" s="42" t="s">
        <v>49</v>
      </c>
      <c r="B13" s="43">
        <v>4.6399999999999997</v>
      </c>
      <c r="C13" s="44">
        <f>[1]Datos!I$13*B13%</f>
        <v>45310899.947039999</v>
      </c>
      <c r="D13" s="45">
        <f t="shared" si="0"/>
        <v>6.4885126808905982</v>
      </c>
      <c r="E13" s="49">
        <v>70399</v>
      </c>
      <c r="F13" s="47">
        <f t="shared" si="1"/>
        <v>6.4885126808905982</v>
      </c>
      <c r="G13" s="47">
        <f t="shared" si="2"/>
        <v>3.8931076085343586</v>
      </c>
      <c r="H13" s="48">
        <f>[1]Datos!$K$18*Consolidado!G13/100</f>
        <v>10882164.138679232</v>
      </c>
      <c r="I13" s="45">
        <v>0.95178300000000005</v>
      </c>
      <c r="J13" s="45">
        <f t="shared" si="3"/>
        <v>4.4505724427771165</v>
      </c>
      <c r="K13" s="45">
        <f t="shared" si="4"/>
        <v>1.3351717328331349</v>
      </c>
      <c r="L13" s="49">
        <f>[1]Datos!$K$18*Consolidado!K13/100</f>
        <v>3732123.3859972609</v>
      </c>
      <c r="M13" s="50">
        <f t="shared" si="5"/>
        <v>14614287.524676494</v>
      </c>
      <c r="N13" s="45">
        <f t="shared" si="6"/>
        <v>5.2282793413674931</v>
      </c>
      <c r="O13" s="45">
        <f t="shared" si="7"/>
        <v>0.19126751550701249</v>
      </c>
      <c r="P13" s="45">
        <f t="shared" si="8"/>
        <v>3.001206438419636</v>
      </c>
      <c r="Q13" s="45">
        <f t="shared" si="9"/>
        <v>0.30012064384196363</v>
      </c>
      <c r="R13" s="51">
        <f>Q13*[1]Datos!$K$18/100</f>
        <v>838908.76803271263</v>
      </c>
      <c r="S13" s="174">
        <f>FGP!U12</f>
        <v>4.9259786013988212</v>
      </c>
      <c r="T13" s="175">
        <f>FGP!T12</f>
        <v>73518463.379041731</v>
      </c>
      <c r="U13" s="176">
        <f>FFM!S12</f>
        <v>5.4501426902487662</v>
      </c>
      <c r="V13" s="177">
        <f>FFM!N12</f>
        <v>0</v>
      </c>
      <c r="W13" s="178">
        <f>FFM!Q12</f>
        <v>23863069.948358901</v>
      </c>
      <c r="X13" s="381">
        <f>FOFIR!I12</f>
        <v>1.444260084973245</v>
      </c>
      <c r="Y13" s="178">
        <f>FOFIR!K12</f>
        <v>3263960.3244078783</v>
      </c>
      <c r="Z13" s="936">
        <f>FOCO!J12</f>
        <v>4.8642760218984451</v>
      </c>
      <c r="AA13" s="937">
        <f>FOCO!L12</f>
        <v>6062323.3176876632</v>
      </c>
      <c r="AB13" s="381">
        <f>'IEPS TyA'!E13</f>
        <v>0.05</v>
      </c>
      <c r="AC13" s="178">
        <f>'IEPS TyA'!G13</f>
        <v>1060742.7675000001</v>
      </c>
      <c r="AD13" s="381">
        <f>'IEPS GyD '!F13</f>
        <v>6.2678071902196431</v>
      </c>
      <c r="AE13" s="178">
        <f>'IEPS GyD '!H13</f>
        <v>3708351.0517101381</v>
      </c>
      <c r="AF13" s="385">
        <f>FGP!F12+FGP!L12+FGP!R12</f>
        <v>4.9259786013988212</v>
      </c>
      <c r="AG13" s="336">
        <f>'Incentivo ISAN'!J12</f>
        <v>461245.2858649203</v>
      </c>
      <c r="AH13" s="40">
        <f>FGP!F12+FGP!L12+FGP!R12</f>
        <v>4.9259786013988212</v>
      </c>
      <c r="AI13" s="39">
        <f>'FOCO ISAN'!J12</f>
        <v>129239.3550918025</v>
      </c>
      <c r="AJ13" s="942">
        <f>'ISR 2022'!B8</f>
        <v>7.7285922215594747</v>
      </c>
      <c r="AK13" s="944">
        <f>'ISR 2022'!O8</f>
        <v>14138428.63496799</v>
      </c>
      <c r="AL13" s="40">
        <f>'ISR Enaje'!T13</f>
        <v>4.9259786013988212</v>
      </c>
      <c r="AM13" s="39">
        <f>'ISR Enaje'!S13</f>
        <v>1724092.5104895874</v>
      </c>
      <c r="AN13" s="41"/>
    </row>
    <row r="14" spans="1:47" ht="27" customHeight="1" x14ac:dyDescent="0.25">
      <c r="A14" s="42" t="s">
        <v>50</v>
      </c>
      <c r="B14" s="43">
        <v>1.5</v>
      </c>
      <c r="C14" s="44">
        <f>[1]Datos!I$13*B14%</f>
        <v>14647920.2415</v>
      </c>
      <c r="D14" s="45">
        <f t="shared" si="0"/>
        <v>3.1613515100292262</v>
      </c>
      <c r="E14" s="49">
        <v>34300</v>
      </c>
      <c r="F14" s="47">
        <f t="shared" si="1"/>
        <v>3.1613515100292262</v>
      </c>
      <c r="G14" s="47">
        <f t="shared" si="2"/>
        <v>1.8968109060175355</v>
      </c>
      <c r="H14" s="48">
        <f>[1]Datos!$K$18*Consolidado!G14/100</f>
        <v>5302038.8067543237</v>
      </c>
      <c r="I14" s="45">
        <v>1.071404</v>
      </c>
      <c r="J14" s="45">
        <f t="shared" si="3"/>
        <v>5.0099246545495904</v>
      </c>
      <c r="K14" s="45">
        <f t="shared" si="4"/>
        <v>1.5029773963648771</v>
      </c>
      <c r="L14" s="49">
        <f>[1]Datos!$K$18*Consolidado!K14/100</f>
        <v>4201180.2314718887</v>
      </c>
      <c r="M14" s="50">
        <f t="shared" si="5"/>
        <v>9503219.0382262133</v>
      </c>
      <c r="N14" s="45">
        <f t="shared" si="6"/>
        <v>3.3997883023824125</v>
      </c>
      <c r="O14" s="45">
        <f t="shared" si="7"/>
        <v>0.29413596114182955</v>
      </c>
      <c r="P14" s="45">
        <f t="shared" si="8"/>
        <v>4.6153301986988051</v>
      </c>
      <c r="Q14" s="45">
        <f t="shared" si="9"/>
        <v>0.46153301986988055</v>
      </c>
      <c r="R14" s="51">
        <f>Q14*[1]Datos!$K$18/100</f>
        <v>1290094.8503540491</v>
      </c>
      <c r="S14" s="174">
        <f>FGP!U13</f>
        <v>4.5669690465560464</v>
      </c>
      <c r="T14" s="175">
        <f>FGP!T13</f>
        <v>40799692.203346632</v>
      </c>
      <c r="U14" s="176">
        <f>FFM!S13</f>
        <v>1.932737074304012</v>
      </c>
      <c r="V14" s="177">
        <f>FFM!N13</f>
        <v>0.31085381884634111</v>
      </c>
      <c r="W14" s="178">
        <f>FFM!Q13</f>
        <v>7926147.9286388494</v>
      </c>
      <c r="X14" s="381">
        <f>FOFIR!I13</f>
        <v>3.1957222951293461E-3</v>
      </c>
      <c r="Y14" s="178">
        <f>FOFIR!K13</f>
        <v>1420116.3169852388</v>
      </c>
      <c r="Z14" s="936">
        <f>FOCO!J13</f>
        <v>3.4706419063749485</v>
      </c>
      <c r="AA14" s="937">
        <f>FOCO!L13</f>
        <v>6455303.0609272253</v>
      </c>
      <c r="AB14" s="381">
        <f>'IEPS TyA'!E14</f>
        <v>0.05</v>
      </c>
      <c r="AC14" s="178">
        <f>'IEPS TyA'!G14</f>
        <v>2388026.7675000001</v>
      </c>
      <c r="AD14" s="381">
        <f>'IEPS GyD '!F14</f>
        <v>3.8487813406547868</v>
      </c>
      <c r="AE14" s="178">
        <f>'IEPS GyD '!H14</f>
        <v>1946248.90882751</v>
      </c>
      <c r="AF14" s="385">
        <f>FGP!F13+FGP!L13+FGP!R13</f>
        <v>4.5669690465560464</v>
      </c>
      <c r="AG14" s="336">
        <f>'Incentivo ISAN'!J13</f>
        <v>427629.33294448518</v>
      </c>
      <c r="AH14" s="40">
        <f>FGP!F13+FGP!L13+FGP!R13</f>
        <v>4.5669690465560464</v>
      </c>
      <c r="AI14" s="39">
        <f>'FOCO ISAN'!J13</f>
        <v>119820.27979851971</v>
      </c>
      <c r="AJ14" s="942">
        <f>'ISR 2022'!B9</f>
        <v>1.9618254548617666</v>
      </c>
      <c r="AK14" s="944">
        <f>'ISR 2022'!O9</f>
        <v>3588898.0027244743</v>
      </c>
      <c r="AL14" s="40">
        <f>'ISR Enaje'!T14</f>
        <v>4.5669690465560464</v>
      </c>
      <c r="AM14" s="39">
        <f>'ISR Enaje'!S14</f>
        <v>1598439.1662946159</v>
      </c>
      <c r="AN14" s="41"/>
    </row>
    <row r="15" spans="1:47" ht="27" customHeight="1" x14ac:dyDescent="0.25">
      <c r="A15" s="42" t="s">
        <v>51</v>
      </c>
      <c r="B15" s="43">
        <v>1.53</v>
      </c>
      <c r="C15" s="44">
        <f>[1]Datos!I$13*B15%</f>
        <v>14940878.646330001</v>
      </c>
      <c r="D15" s="45">
        <f t="shared" si="0"/>
        <v>1.050711580592804</v>
      </c>
      <c r="E15" s="49">
        <v>11400</v>
      </c>
      <c r="F15" s="47">
        <f t="shared" si="1"/>
        <v>1.050711580592804</v>
      </c>
      <c r="G15" s="47">
        <f t="shared" si="2"/>
        <v>0.63042694835568236</v>
      </c>
      <c r="H15" s="48">
        <f>[1]Datos!$K$18*Consolidado!G15/100</f>
        <v>1762193.6558891919</v>
      </c>
      <c r="I15" s="45">
        <v>1.737498</v>
      </c>
      <c r="J15" s="45">
        <f t="shared" si="3"/>
        <v>8.1246047872050173</v>
      </c>
      <c r="K15" s="45">
        <f t="shared" si="4"/>
        <v>2.4373814361615049</v>
      </c>
      <c r="L15" s="49">
        <f>[1]Datos!$K$18*Consolidado!K15/100</f>
        <v>6813062.3460636167</v>
      </c>
      <c r="M15" s="50">
        <f t="shared" si="5"/>
        <v>8575256.0019528084</v>
      </c>
      <c r="N15" s="45">
        <f t="shared" si="6"/>
        <v>3.0678083845171873</v>
      </c>
      <c r="O15" s="45">
        <f t="shared" si="7"/>
        <v>0.32596559975742434</v>
      </c>
      <c r="P15" s="45">
        <f t="shared" si="8"/>
        <v>5.1147736932852705</v>
      </c>
      <c r="Q15" s="45">
        <f t="shared" si="9"/>
        <v>0.51147736932852705</v>
      </c>
      <c r="R15" s="51">
        <f>Q15*[1]Datos!$K$18/100</f>
        <v>1429701.2171077179</v>
      </c>
      <c r="S15" s="174">
        <f>FGP!U14</f>
        <v>3.0924320014220541</v>
      </c>
      <c r="T15" s="175">
        <f>FGP!T14</f>
        <v>32649029.431738235</v>
      </c>
      <c r="U15" s="176">
        <f>FFM!S14</f>
        <v>0.50363861066423976</v>
      </c>
      <c r="V15" s="177">
        <f>FFM!N14</f>
        <v>0.26703072914750042</v>
      </c>
      <c r="W15" s="178">
        <f>FFM!Q14</f>
        <v>7047369.1620388385</v>
      </c>
      <c r="X15" s="381">
        <f>FOFIR!I14</f>
        <v>8.547684762838354E-4</v>
      </c>
      <c r="Y15" s="178">
        <f>FOFIR!K14</f>
        <v>489484.8330791578</v>
      </c>
      <c r="Z15" s="936">
        <f>FOCO!J14</f>
        <v>3.7119397222843022</v>
      </c>
      <c r="AA15" s="937">
        <f>FOCO!L14</f>
        <v>2553303.1693798774</v>
      </c>
      <c r="AB15" s="381">
        <f>'IEPS TyA'!E15</f>
        <v>0.05</v>
      </c>
      <c r="AC15" s="178">
        <f>'IEPS TyA'!G15</f>
        <v>2350928.7675000001</v>
      </c>
      <c r="AD15" s="381">
        <f>'IEPS GyD '!F15</f>
        <v>0.98991789266473262</v>
      </c>
      <c r="AE15" s="178">
        <f>'IEPS GyD '!H15</f>
        <v>610128.30245447834</v>
      </c>
      <c r="AF15" s="385">
        <f>FGP!F14+FGP!L14+FGP!R14</f>
        <v>3.0924320014220541</v>
      </c>
      <c r="AG15" s="336">
        <f>'Incentivo ISAN'!J14</f>
        <v>289560.67371236638</v>
      </c>
      <c r="AH15" s="40">
        <f>FGP!F14+FGP!L14+FGP!R14</f>
        <v>3.0924320014220541</v>
      </c>
      <c r="AI15" s="39">
        <f>'FOCO ISAN'!J14</f>
        <v>81133.912643377407</v>
      </c>
      <c r="AJ15" s="942">
        <f>'ISR 2022'!B10</f>
        <v>1.0419092281200826</v>
      </c>
      <c r="AK15" s="944">
        <f>'ISR 2022'!O10</f>
        <v>1906033.9637013427</v>
      </c>
      <c r="AL15" s="40">
        <f>'ISR Enaje'!T15</f>
        <v>3.0924320014220541</v>
      </c>
      <c r="AM15" s="39">
        <f>'ISR Enaje'!S15</f>
        <v>1082351.200497719</v>
      </c>
      <c r="AN15" s="41"/>
    </row>
    <row r="16" spans="1:47" ht="27" customHeight="1" x14ac:dyDescent="0.25">
      <c r="A16" s="42" t="s">
        <v>52</v>
      </c>
      <c r="B16" s="43">
        <v>3.16</v>
      </c>
      <c r="C16" s="44">
        <f>[1]Datos!I$13*B16%</f>
        <v>30858285.308760002</v>
      </c>
      <c r="D16" s="45">
        <f t="shared" si="0"/>
        <v>2.5136892050445216</v>
      </c>
      <c r="E16" s="49">
        <v>27273</v>
      </c>
      <c r="F16" s="47">
        <f t="shared" si="1"/>
        <v>2.5136892050445216</v>
      </c>
      <c r="G16" s="47">
        <f t="shared" si="2"/>
        <v>1.5082135230267129</v>
      </c>
      <c r="H16" s="48">
        <f>[1]Datos!$K$18*Consolidado!G16/100</f>
        <v>4215816.4541285904</v>
      </c>
      <c r="I16" s="45">
        <v>0.789829</v>
      </c>
      <c r="J16" s="45">
        <f t="shared" si="3"/>
        <v>3.6932695602949481</v>
      </c>
      <c r="K16" s="45">
        <f t="shared" si="4"/>
        <v>1.1079808680884844</v>
      </c>
      <c r="L16" s="49">
        <f>[1]Datos!$K$18*Consolidado!K16/100</f>
        <v>3097070.7417960083</v>
      </c>
      <c r="M16" s="50">
        <f t="shared" si="5"/>
        <v>7312887.1959245987</v>
      </c>
      <c r="N16" s="45">
        <f t="shared" si="6"/>
        <v>2.6161943911151972</v>
      </c>
      <c r="O16" s="45">
        <f t="shared" si="7"/>
        <v>0.38223459365102186</v>
      </c>
      <c r="P16" s="45">
        <f t="shared" si="8"/>
        <v>5.9976986704263497</v>
      </c>
      <c r="Q16" s="45">
        <f t="shared" si="9"/>
        <v>0.59976986704263502</v>
      </c>
      <c r="R16" s="51">
        <f>Q16*[1]Datos!$K$18/100</f>
        <v>1676499.8029553366</v>
      </c>
      <c r="S16" s="174">
        <f>FGP!U15</f>
        <v>3.5445769153881468</v>
      </c>
      <c r="T16" s="175">
        <f>FGP!T15</f>
        <v>51155547.28875073</v>
      </c>
      <c r="U16" s="176">
        <f>FFM!S15</f>
        <v>2.0797669518108313</v>
      </c>
      <c r="V16" s="177">
        <f>FFM!N15</f>
        <v>0</v>
      </c>
      <c r="W16" s="178">
        <f>FFM!Q15</f>
        <v>15114825.895697502</v>
      </c>
      <c r="X16" s="381">
        <f>FOFIR!I15</f>
        <v>0.21091841399511158</v>
      </c>
      <c r="Y16" s="178">
        <f>FOFIR!K15</f>
        <v>1244425.6940899484</v>
      </c>
      <c r="Z16" s="936">
        <f>FOCO!J15</f>
        <v>2.9202501067459696</v>
      </c>
      <c r="AA16" s="937">
        <f>FOCO!L15</f>
        <v>2840966.6235825205</v>
      </c>
      <c r="AB16" s="381">
        <f>'IEPS TyA'!E16</f>
        <v>0.05</v>
      </c>
      <c r="AC16" s="178">
        <f>'IEPS TyA'!G16</f>
        <v>1359587.7675000001</v>
      </c>
      <c r="AD16" s="381">
        <f>'IEPS GyD '!F16</f>
        <v>2.3715130283878989</v>
      </c>
      <c r="AE16" s="178">
        <f>'IEPS GyD '!H16</f>
        <v>1481415.4862173966</v>
      </c>
      <c r="AF16" s="385">
        <f>FGP!F15+FGP!L15+FGP!R15</f>
        <v>3.5445769153881468</v>
      </c>
      <c r="AG16" s="336">
        <f>'Incentivo ISAN'!J15</f>
        <v>331897.38017622288</v>
      </c>
      <c r="AH16" s="40">
        <f>FGP!F15+FGP!L15+FGP!R15</f>
        <v>3.5445769153881468</v>
      </c>
      <c r="AI16" s="39">
        <f>'FOCO ISAN'!J15</f>
        <v>92996.513319803955</v>
      </c>
      <c r="AJ16" s="942">
        <f>'ISR 2022'!B11</f>
        <v>3.4748875612937713</v>
      </c>
      <c r="AK16" s="944">
        <f>'ISR 2022'!O11</f>
        <v>6356843.3152469536</v>
      </c>
      <c r="AL16" s="40">
        <f>'ISR Enaje'!T16</f>
        <v>3.5445769153881468</v>
      </c>
      <c r="AM16" s="39">
        <f>'ISR Enaje'!S16</f>
        <v>1240601.9203858513</v>
      </c>
      <c r="AN16" s="41"/>
    </row>
    <row r="17" spans="1:40" ht="27" customHeight="1" x14ac:dyDescent="0.25">
      <c r="A17" s="42" t="s">
        <v>53</v>
      </c>
      <c r="B17" s="43">
        <v>2.81</v>
      </c>
      <c r="C17" s="44">
        <f>[1]Datos!I$13*B17%</f>
        <v>27440437.252410002</v>
      </c>
      <c r="D17" s="45">
        <f t="shared" si="0"/>
        <v>1.6311836450290742</v>
      </c>
      <c r="E17" s="49">
        <v>17698</v>
      </c>
      <c r="F17" s="47">
        <f t="shared" si="1"/>
        <v>1.6311836450290742</v>
      </c>
      <c r="G17" s="47">
        <f t="shared" si="2"/>
        <v>0.9787101870174445</v>
      </c>
      <c r="H17" s="48">
        <f>[1]Datos!$K$18*Consolidado!G17/100</f>
        <v>2735728.3615725366</v>
      </c>
      <c r="I17" s="45">
        <v>1.0861320000000001</v>
      </c>
      <c r="J17" s="45">
        <f t="shared" si="3"/>
        <v>5.0787933262291878</v>
      </c>
      <c r="K17" s="45">
        <f t="shared" si="4"/>
        <v>1.5236379978687562</v>
      </c>
      <c r="L17" s="49">
        <f>[1]Datos!$K$18*Consolidado!K17/100</f>
        <v>4258931.5395210637</v>
      </c>
      <c r="M17" s="50">
        <f t="shared" si="5"/>
        <v>6994659.9010936003</v>
      </c>
      <c r="N17" s="45">
        <f t="shared" si="6"/>
        <v>2.5023481848862006</v>
      </c>
      <c r="O17" s="45">
        <f t="shared" si="7"/>
        <v>0.3996246429812792</v>
      </c>
      <c r="P17" s="45">
        <f t="shared" si="8"/>
        <v>6.2705684668267221</v>
      </c>
      <c r="Q17" s="45">
        <f t="shared" si="9"/>
        <v>0.62705684668267225</v>
      </c>
      <c r="R17" s="51">
        <f>Q17*[1]Datos!$K$18/100</f>
        <v>1752773.4180593055</v>
      </c>
      <c r="S17" s="174">
        <f>FGP!U16</f>
        <v>2.9474150327827102</v>
      </c>
      <c r="T17" s="175">
        <f>FGP!T16</f>
        <v>44318179.367254928</v>
      </c>
      <c r="U17" s="176">
        <f>FFM!S16</f>
        <v>1.0450882606737879</v>
      </c>
      <c r="V17" s="177">
        <f>FFM!N16</f>
        <v>0</v>
      </c>
      <c r="W17" s="178">
        <f>FFM!Q16</f>
        <v>12880462.9324673</v>
      </c>
      <c r="X17" s="381">
        <f>FOFIR!I16</f>
        <v>4.0940440077724648E-2</v>
      </c>
      <c r="Y17" s="178">
        <f>FOFIR!K16</f>
        <v>754624.12751560379</v>
      </c>
      <c r="Z17" s="936">
        <f>FOCO!J16</f>
        <v>3.0057082759150693</v>
      </c>
      <c r="AA17" s="937">
        <f>FOCO!L16</f>
        <v>2583992.8073572302</v>
      </c>
      <c r="AB17" s="381">
        <f>'IEPS TyA'!E17</f>
        <v>0.05</v>
      </c>
      <c r="AC17" s="178">
        <f>'IEPS TyA'!G17</f>
        <v>1475003.7675000001</v>
      </c>
      <c r="AD17" s="381">
        <f>'IEPS GyD '!F17</f>
        <v>1.563876010153336</v>
      </c>
      <c r="AE17" s="178">
        <f>'IEPS GyD '!H17</f>
        <v>939166.52922305604</v>
      </c>
      <c r="AF17" s="385">
        <f>FGP!F16+FGP!L16+FGP!R16</f>
        <v>2.9474150327827107</v>
      </c>
      <c r="AG17" s="336">
        <f>'Incentivo ISAN'!J16</f>
        <v>275981.97218566388</v>
      </c>
      <c r="AH17" s="40">
        <f>FGP!F16+FGP!L16+FGP!R16</f>
        <v>2.9474150327827107</v>
      </c>
      <c r="AI17" s="39">
        <f>'FOCO ISAN'!J16</f>
        <v>77329.206813150115</v>
      </c>
      <c r="AJ17" s="942">
        <f>'ISR 2022'!B12</f>
        <v>1.4675970947452466</v>
      </c>
      <c r="AK17" s="944">
        <f>'ISR 2022'!O12</f>
        <v>2684773.1377338977</v>
      </c>
      <c r="AL17" s="40">
        <f>'ISR Enaje'!T17</f>
        <v>2.9474150327827107</v>
      </c>
      <c r="AM17" s="39">
        <f>'ISR Enaje'!S17</f>
        <v>1031595.2614739486</v>
      </c>
      <c r="AN17" s="41"/>
    </row>
    <row r="18" spans="1:40" ht="27" customHeight="1" x14ac:dyDescent="0.25">
      <c r="A18" s="42" t="s">
        <v>54</v>
      </c>
      <c r="B18" s="43">
        <v>1.6</v>
      </c>
      <c r="C18" s="44">
        <f>[1]Datos!I$13*B18%</f>
        <v>15624448.2576</v>
      </c>
      <c r="D18" s="45">
        <f t="shared" si="0"/>
        <v>1.2534804821107137</v>
      </c>
      <c r="E18" s="49">
        <v>13600</v>
      </c>
      <c r="F18" s="47">
        <f t="shared" si="1"/>
        <v>1.2534804821107137</v>
      </c>
      <c r="G18" s="47">
        <f t="shared" si="2"/>
        <v>0.75208828926642823</v>
      </c>
      <c r="H18" s="48">
        <f>[1]Datos!$K$18*Consolidado!G18/100</f>
        <v>2102266.1157976328</v>
      </c>
      <c r="I18" s="45">
        <v>0.84773799999999999</v>
      </c>
      <c r="J18" s="45">
        <f t="shared" si="3"/>
        <v>3.9640541819878972</v>
      </c>
      <c r="K18" s="45">
        <f t="shared" si="4"/>
        <v>1.1892162545963691</v>
      </c>
      <c r="L18" s="49">
        <f>[1]Datos!$K$18*Consolidado!K18/100</f>
        <v>3324143.0189429163</v>
      </c>
      <c r="M18" s="50">
        <f t="shared" si="5"/>
        <v>5426409.1347405491</v>
      </c>
      <c r="N18" s="45">
        <f t="shared" si="6"/>
        <v>1.9413045438627974</v>
      </c>
      <c r="O18" s="45">
        <f t="shared" si="7"/>
        <v>0.51511752916943432</v>
      </c>
      <c r="P18" s="45">
        <f t="shared" si="8"/>
        <v>8.0827841622141037</v>
      </c>
      <c r="Q18" s="45">
        <f t="shared" si="9"/>
        <v>0.80827841622141039</v>
      </c>
      <c r="R18" s="51">
        <f>Q18*[1]Datos!$K$18/100</f>
        <v>2259330.9200575752</v>
      </c>
      <c r="S18" s="174">
        <f>FGP!U17</f>
        <v>3.1262542546374323</v>
      </c>
      <c r="T18" s="175">
        <f>FGP!T17</f>
        <v>33526274.945846114</v>
      </c>
      <c r="U18" s="176">
        <f>FFM!S17</f>
        <v>0.60342006825220784</v>
      </c>
      <c r="V18" s="177">
        <f>FFM!N17</f>
        <v>0</v>
      </c>
      <c r="W18" s="178">
        <f>FFM!Q17</f>
        <v>7339889.0207275432</v>
      </c>
      <c r="X18" s="381">
        <f>FOFIR!I17</f>
        <v>5.3246166573789697E-3</v>
      </c>
      <c r="Y18" s="178">
        <f>FOFIR!K17</f>
        <v>561068.94553111645</v>
      </c>
      <c r="Z18" s="936">
        <f>FOCO!J17</f>
        <v>3.4686366380201896</v>
      </c>
      <c r="AA18" s="937">
        <f>FOCO!L17</f>
        <v>2720710.9439636567</v>
      </c>
      <c r="AB18" s="381">
        <f>'IEPS TyA'!E18</f>
        <v>0.05</v>
      </c>
      <c r="AC18" s="178">
        <f>'IEPS TyA'!G18</f>
        <v>2266427.7675000001</v>
      </c>
      <c r="AD18" s="381">
        <f>'IEPS GyD '!F18</f>
        <v>1.1104401937422297</v>
      </c>
      <c r="AE18" s="178">
        <f>'IEPS GyD '!H18</f>
        <v>694074.3048812747</v>
      </c>
      <c r="AF18" s="385">
        <f>FGP!F17+FGP!L17+FGP!R17</f>
        <v>3.1262542546374323</v>
      </c>
      <c r="AG18" s="336">
        <f>'Incentivo ISAN'!J17</f>
        <v>292727.6291775186</v>
      </c>
      <c r="AH18" s="40">
        <f>FGP!F17+FGP!L17+FGP!R17</f>
        <v>3.1262542546374323</v>
      </c>
      <c r="AI18" s="39">
        <f>'FOCO ISAN'!J17</f>
        <v>82021.282757422538</v>
      </c>
      <c r="AJ18" s="942">
        <f>'ISR 2022'!B13</f>
        <v>1.5845405635451817</v>
      </c>
      <c r="AK18" s="944">
        <f>'ISR 2022'!O13</f>
        <v>2898705.6160630318</v>
      </c>
      <c r="AL18" s="40">
        <f>'ISR Enaje'!T18</f>
        <v>3.1262542546374323</v>
      </c>
      <c r="AM18" s="39">
        <f>'ISR Enaje'!S18</f>
        <v>1094188.9891231013</v>
      </c>
      <c r="AN18" s="41"/>
    </row>
    <row r="19" spans="1:40" ht="27" customHeight="1" x14ac:dyDescent="0.25">
      <c r="A19" s="42" t="s">
        <v>55</v>
      </c>
      <c r="B19" s="43">
        <v>2.84</v>
      </c>
      <c r="C19" s="44">
        <f>[1]Datos!I$13*B19%</f>
        <v>27733395.65724</v>
      </c>
      <c r="D19" s="45">
        <f t="shared" si="0"/>
        <v>3.1699231045024834</v>
      </c>
      <c r="E19" s="49">
        <v>34393</v>
      </c>
      <c r="F19" s="47">
        <f t="shared" si="1"/>
        <v>3.1699231045024834</v>
      </c>
      <c r="G19" s="47">
        <f t="shared" si="2"/>
        <v>1.90195386270149</v>
      </c>
      <c r="H19" s="48">
        <f>[1]Datos!$K$18*Consolidado!G19/100</f>
        <v>5316414.5971049992</v>
      </c>
      <c r="I19" s="45">
        <v>1.369108</v>
      </c>
      <c r="J19" s="45">
        <f t="shared" si="3"/>
        <v>6.4019995482013146</v>
      </c>
      <c r="K19" s="45">
        <f t="shared" si="4"/>
        <v>1.9205998644603943</v>
      </c>
      <c r="L19" s="49">
        <f>[1]Datos!$K$18*Consolidado!K19/100</f>
        <v>5368534.6184539311</v>
      </c>
      <c r="M19" s="50">
        <f t="shared" si="5"/>
        <v>10684949.215558931</v>
      </c>
      <c r="N19" s="45">
        <f t="shared" si="6"/>
        <v>3.8225537271618846</v>
      </c>
      <c r="O19" s="45">
        <f t="shared" si="7"/>
        <v>0.26160521770938344</v>
      </c>
      <c r="P19" s="45">
        <f t="shared" si="8"/>
        <v>4.1048855663354225</v>
      </c>
      <c r="Q19" s="45">
        <f t="shared" si="9"/>
        <v>0.41048855663354228</v>
      </c>
      <c r="R19" s="51">
        <f>Q19*[1]Datos!$K$18/100</f>
        <v>1147413.4032522747</v>
      </c>
      <c r="S19" s="174">
        <f>FGP!U18</f>
        <v>3.5571999751633676</v>
      </c>
      <c r="T19" s="175">
        <f>FGP!T18</f>
        <v>48102940.890595727</v>
      </c>
      <c r="U19" s="176">
        <f>FFM!S18</f>
        <v>1.5254079353579721</v>
      </c>
      <c r="V19" s="177">
        <f>FFM!N18</f>
        <v>21.65071348418147</v>
      </c>
      <c r="W19" s="178">
        <f>FFM!Q18</f>
        <v>19807974.686746359</v>
      </c>
      <c r="X19" s="381">
        <f>FOFIR!I18</f>
        <v>4.5117432296024516E-2</v>
      </c>
      <c r="Y19" s="178">
        <f>FOFIR!K18</f>
        <v>1504963.6806919337</v>
      </c>
      <c r="Z19" s="936">
        <f>FOCO!J18</f>
        <v>3.0018401196972491</v>
      </c>
      <c r="AA19" s="937">
        <f>FOCO!L18</f>
        <v>4670025.6413604561</v>
      </c>
      <c r="AB19" s="381">
        <f>'IEPS TyA'!E19</f>
        <v>0.05</v>
      </c>
      <c r="AC19" s="178">
        <f>'IEPS TyA'!G19</f>
        <v>1462637.7675000001</v>
      </c>
      <c r="AD19" s="381">
        <f>'IEPS GyD '!F19</f>
        <v>2.7169725186489848</v>
      </c>
      <c r="AE19" s="178">
        <f>'IEPS GyD '!H19</f>
        <v>1808093.33689407</v>
      </c>
      <c r="AF19" s="385">
        <f>FGP!F18+FGP!L18+FGP!R18</f>
        <v>3.5571999751633672</v>
      </c>
      <c r="AG19" s="336">
        <f>'Incentivo ISAN'!J18</f>
        <v>333079.34365711547</v>
      </c>
      <c r="AH19" s="40">
        <f>FGP!F18+FGP!L18+FGP!R18</f>
        <v>3.5571999751633672</v>
      </c>
      <c r="AI19" s="39">
        <f>'FOCO ISAN'!J18</f>
        <v>93327.69545367916</v>
      </c>
      <c r="AJ19" s="942">
        <f>'ISR 2022'!B14</f>
        <v>0.12294406977660646</v>
      </c>
      <c r="AK19" s="944">
        <f>'ISR 2022'!O14</f>
        <v>224909.77745987667</v>
      </c>
      <c r="AL19" s="40">
        <f>'ISR Enaje'!T19</f>
        <v>3.5571999751633672</v>
      </c>
      <c r="AM19" s="39">
        <f>'ISR Enaje'!S19</f>
        <v>1245019.9913071787</v>
      </c>
      <c r="AN19" s="41"/>
    </row>
    <row r="20" spans="1:40" ht="27" customHeight="1" x14ac:dyDescent="0.25">
      <c r="A20" s="42" t="s">
        <v>56</v>
      </c>
      <c r="B20" s="43">
        <v>3.33</v>
      </c>
      <c r="C20" s="44">
        <f>[1]Datos!I$13*B20%</f>
        <v>32518382.936130002</v>
      </c>
      <c r="D20" s="45">
        <f t="shared" si="0"/>
        <v>2.1630833407835541</v>
      </c>
      <c r="E20" s="49">
        <v>23469</v>
      </c>
      <c r="F20" s="47">
        <f t="shared" si="1"/>
        <v>2.1630833407835541</v>
      </c>
      <c r="G20" s="47">
        <f t="shared" si="2"/>
        <v>1.2978500044701324</v>
      </c>
      <c r="H20" s="48">
        <f>[1]Datos!$K$18*Consolidado!G20/100</f>
        <v>3627800.2552687232</v>
      </c>
      <c r="I20" s="45">
        <v>0.71338900000000005</v>
      </c>
      <c r="J20" s="45">
        <f t="shared" si="3"/>
        <v>3.3358332985358259</v>
      </c>
      <c r="K20" s="45">
        <f t="shared" si="4"/>
        <v>1.0007499895607477</v>
      </c>
      <c r="L20" s="49">
        <f>[1]Datos!$K$18*Consolidado!K20/100</f>
        <v>2797334.8654191126</v>
      </c>
      <c r="M20" s="50">
        <f t="shared" si="5"/>
        <v>6425135.1206878358</v>
      </c>
      <c r="N20" s="45">
        <f t="shared" si="6"/>
        <v>2.2985999940308801</v>
      </c>
      <c r="O20" s="45">
        <f t="shared" si="7"/>
        <v>0.4350474212985514</v>
      </c>
      <c r="P20" s="45">
        <f t="shared" si="8"/>
        <v>6.8263924397094096</v>
      </c>
      <c r="Q20" s="45">
        <f t="shared" si="9"/>
        <v>0.682639243970941</v>
      </c>
      <c r="R20" s="51">
        <f>Q20*[1]Datos!$K$18/100</f>
        <v>1908139.4729780732</v>
      </c>
      <c r="S20" s="174">
        <f>FGP!U19</f>
        <v>3.2256653277433607</v>
      </c>
      <c r="T20" s="175">
        <f>FGP!T19</f>
        <v>50989465.883362405</v>
      </c>
      <c r="U20" s="176">
        <f>FFM!S19</f>
        <v>1.2091957444588881</v>
      </c>
      <c r="V20" s="177">
        <f>FFM!N19</f>
        <v>0</v>
      </c>
      <c r="W20" s="178">
        <f>FFM!Q19</f>
        <v>15243634.447641959</v>
      </c>
      <c r="X20" s="381">
        <f>FOFIR!I19</f>
        <v>4.5404311838344522E-2</v>
      </c>
      <c r="Y20" s="178">
        <f>FOFIR!K19</f>
        <v>984893.11687389447</v>
      </c>
      <c r="Z20" s="936">
        <f>FOCO!J19</f>
        <v>2.8975625351725398</v>
      </c>
      <c r="AA20" s="937">
        <f>FOCO!L19</f>
        <v>2766332.7041858425</v>
      </c>
      <c r="AB20" s="381">
        <f>'IEPS TyA'!E20</f>
        <v>0.05</v>
      </c>
      <c r="AC20" s="178">
        <f>'IEPS TyA'!G20</f>
        <v>1312184.7675000001</v>
      </c>
      <c r="AD20" s="381">
        <f>'IEPS GyD '!F20</f>
        <v>1.9503729796933278</v>
      </c>
      <c r="AE20" s="178">
        <f>'IEPS GyD '!H20</f>
        <v>1211052.5813976377</v>
      </c>
      <c r="AF20" s="385">
        <f>FGP!F19+FGP!L19+FGP!R19</f>
        <v>3.2256653277433602</v>
      </c>
      <c r="AG20" s="336">
        <f>'Incentivo ISAN'!J19</f>
        <v>302036.01082981844</v>
      </c>
      <c r="AH20" s="40">
        <f>FGP!F19+FGP!L19+FGP!R19</f>
        <v>3.2256653277433602</v>
      </c>
      <c r="AI20" s="39">
        <f>'FOCO ISAN'!J19</f>
        <v>84629.459531382905</v>
      </c>
      <c r="AJ20" s="942">
        <f>'ISR 2022'!B15</f>
        <v>2.6564064750825946</v>
      </c>
      <c r="AK20" s="944">
        <f>'ISR 2022'!O15</f>
        <v>4859541.3364743171</v>
      </c>
      <c r="AL20" s="40">
        <f>'ISR Enaje'!T20</f>
        <v>3.2256653277433602</v>
      </c>
      <c r="AM20" s="39">
        <f>'ISR Enaje'!S20</f>
        <v>1128982.8647101761</v>
      </c>
      <c r="AN20" s="41"/>
    </row>
    <row r="21" spans="1:40" ht="27" customHeight="1" x14ac:dyDescent="0.25">
      <c r="A21" s="42" t="s">
        <v>57</v>
      </c>
      <c r="B21" s="43">
        <v>4.6900000000000004</v>
      </c>
      <c r="C21" s="44">
        <f>[1]Datos!I$13*B21%</f>
        <v>45799163.955090009</v>
      </c>
      <c r="D21" s="45">
        <f t="shared" si="0"/>
        <v>3.9742704697510276</v>
      </c>
      <c r="E21" s="49">
        <v>43120</v>
      </c>
      <c r="F21" s="47">
        <f t="shared" si="1"/>
        <v>3.9742704697510276</v>
      </c>
      <c r="G21" s="47">
        <f t="shared" si="2"/>
        <v>2.3845622818506165</v>
      </c>
      <c r="H21" s="48">
        <f>[1]Datos!$K$18*Consolidado!G21/100</f>
        <v>6665420.2142054355</v>
      </c>
      <c r="I21" s="45">
        <v>0.39641700000000002</v>
      </c>
      <c r="J21" s="45">
        <f t="shared" si="3"/>
        <v>1.8536605256118004</v>
      </c>
      <c r="K21" s="45">
        <f t="shared" si="4"/>
        <v>0.5560981576835401</v>
      </c>
      <c r="L21" s="49">
        <f>[1]Datos!$K$18*Consolidado!K21/100</f>
        <v>1554426.96108974</v>
      </c>
      <c r="M21" s="50">
        <f t="shared" si="5"/>
        <v>8219847.175295176</v>
      </c>
      <c r="N21" s="45">
        <f t="shared" si="6"/>
        <v>2.9406604395341565</v>
      </c>
      <c r="O21" s="45">
        <f t="shared" si="7"/>
        <v>0.3400596636578736</v>
      </c>
      <c r="P21" s="45">
        <f t="shared" si="8"/>
        <v>5.3359257023412736</v>
      </c>
      <c r="Q21" s="45">
        <f t="shared" si="9"/>
        <v>0.53359257023412743</v>
      </c>
      <c r="R21" s="51">
        <f>Q21*[1]Datos!$K$18/100</f>
        <v>1491518.4773568413</v>
      </c>
      <c r="S21" s="174">
        <f>FGP!U20</f>
        <v>3.9058227423840197</v>
      </c>
      <c r="T21" s="175">
        <f>FGP!T20</f>
        <v>68165022.939671546</v>
      </c>
      <c r="U21" s="176">
        <f>FFM!S20</f>
        <v>2.0311174281066604</v>
      </c>
      <c r="V21" s="177">
        <f>FFM!N20</f>
        <v>0</v>
      </c>
      <c r="W21" s="178">
        <f>FFM!Q20</f>
        <v>21697784.287663966</v>
      </c>
      <c r="X21" s="381">
        <f>FOFIR!I20</f>
        <v>0.11729337538286799</v>
      </c>
      <c r="Y21" s="178">
        <f>FOFIR!K20</f>
        <v>1768874.6486175647</v>
      </c>
      <c r="Z21" s="936">
        <f>FOCO!J20</f>
        <v>3.241687505378259</v>
      </c>
      <c r="AA21" s="937">
        <f>FOCO!L20</f>
        <v>3477071.776179533</v>
      </c>
      <c r="AB21" s="381">
        <f>'IEPS TyA'!E21</f>
        <v>0.05</v>
      </c>
      <c r="AC21" s="178">
        <f>'IEPS TyA'!G21</f>
        <v>1054559.7675000001</v>
      </c>
      <c r="AD21" s="381">
        <f>'IEPS GyD '!F21</f>
        <v>3.3605405615416495</v>
      </c>
      <c r="AE21" s="178">
        <f>'IEPS GyD '!H21</f>
        <v>2141918.3442113679</v>
      </c>
      <c r="AF21" s="385">
        <f>FGP!F20+FGP!L20+FGP!R20</f>
        <v>3.9058227423840197</v>
      </c>
      <c r="AG21" s="336">
        <f>'Incentivo ISAN'!J20</f>
        <v>365722.72702058504</v>
      </c>
      <c r="AH21" s="40">
        <f>FGP!F20+FGP!L20+FGP!R20</f>
        <v>3.9058227423840197</v>
      </c>
      <c r="AI21" s="39">
        <f>'FOCO ISAN'!J20</f>
        <v>102474.26007601069</v>
      </c>
      <c r="AJ21" s="942">
        <f>'ISR 2022'!B16</f>
        <v>4.8409002026978074</v>
      </c>
      <c r="AK21" s="944">
        <f>'ISR 2022'!O16</f>
        <v>8855781.2448584158</v>
      </c>
      <c r="AL21" s="40">
        <f>'ISR Enaje'!T21</f>
        <v>3.9058227423840197</v>
      </c>
      <c r="AM21" s="39">
        <f>'ISR Enaje'!S21</f>
        <v>1367037.9598344069</v>
      </c>
      <c r="AN21" s="41"/>
    </row>
    <row r="22" spans="1:40" ht="27" customHeight="1" x14ac:dyDescent="0.25">
      <c r="A22" s="42" t="s">
        <v>58</v>
      </c>
      <c r="B22" s="43">
        <v>2.13</v>
      </c>
      <c r="C22" s="44">
        <f>[1]Datos!I$13*B22%</f>
        <v>20800046.742929999</v>
      </c>
      <c r="D22" s="45">
        <f t="shared" si="0"/>
        <v>0.69217929563613667</v>
      </c>
      <c r="E22" s="49">
        <v>7510</v>
      </c>
      <c r="F22" s="47">
        <f t="shared" si="1"/>
        <v>0.69217929563613667</v>
      </c>
      <c r="G22" s="47">
        <f t="shared" si="2"/>
        <v>0.415307577381682</v>
      </c>
      <c r="H22" s="48">
        <f>[1]Datos!$K$18*Consolidado!G22/100</f>
        <v>1160883.7154147222</v>
      </c>
      <c r="I22" s="45">
        <v>0.79456599999999999</v>
      </c>
      <c r="J22" s="45">
        <f t="shared" si="3"/>
        <v>3.7154199471598481</v>
      </c>
      <c r="K22" s="45">
        <f t="shared" si="4"/>
        <v>1.1146259841479544</v>
      </c>
      <c r="L22" s="49">
        <f>[1]Datos!$K$18*Consolidado!K22/100</f>
        <v>3115645.4258148116</v>
      </c>
      <c r="M22" s="50">
        <f t="shared" si="5"/>
        <v>4276529.1412295336</v>
      </c>
      <c r="N22" s="45">
        <f t="shared" si="6"/>
        <v>1.5299335615296363</v>
      </c>
      <c r="O22" s="45">
        <f t="shared" si="7"/>
        <v>0.65362315406702642</v>
      </c>
      <c r="P22" s="45">
        <f t="shared" si="8"/>
        <v>10.256096091833161</v>
      </c>
      <c r="Q22" s="45">
        <f t="shared" si="9"/>
        <v>1.0256096091833162</v>
      </c>
      <c r="R22" s="51">
        <f>Q22*[1]Datos!$K$18/100</f>
        <v>2866823.43043203</v>
      </c>
      <c r="S22" s="174">
        <f>FGP!U21</f>
        <v>2.6233120281771627</v>
      </c>
      <c r="T22" s="175">
        <f>FGP!T21</f>
        <v>35821882.285562605</v>
      </c>
      <c r="U22" s="176">
        <f>FFM!S21</f>
        <v>0.4395779913734999</v>
      </c>
      <c r="V22" s="177">
        <f>FFM!N21</f>
        <v>0</v>
      </c>
      <c r="W22" s="178">
        <f>FFM!Q21</f>
        <v>9517874.5867635235</v>
      </c>
      <c r="X22" s="381">
        <f>FOFIR!I21</f>
        <v>7.9584142354513394E-3</v>
      </c>
      <c r="Y22" s="178">
        <f>FOFIR!K21</f>
        <v>332478.16332735552</v>
      </c>
      <c r="Z22" s="936">
        <f>FOCO!J21</f>
        <v>5.2410315169123853</v>
      </c>
      <c r="AA22" s="937">
        <f>FOCO!L21</f>
        <v>2084265.3536045635</v>
      </c>
      <c r="AB22" s="381">
        <f>'IEPS TyA'!E22</f>
        <v>0.05</v>
      </c>
      <c r="AC22" s="178">
        <f>'IEPS TyA'!G22</f>
        <v>1808885.7675000001</v>
      </c>
      <c r="AD22" s="381">
        <f>'IEPS GyD '!F22</f>
        <v>0.62187564753418989</v>
      </c>
      <c r="AE22" s="178">
        <f>'IEPS GyD '!H22</f>
        <v>403769.69000676676</v>
      </c>
      <c r="AF22" s="385">
        <f>FGP!F21+FGP!L21+FGP!R21</f>
        <v>2.6233120281771627</v>
      </c>
      <c r="AG22" s="336">
        <f>'Incentivo ISAN'!J21</f>
        <v>245634.50316366798</v>
      </c>
      <c r="AH22" s="40">
        <f>FGP!F21+FGP!L21+FGP!R21</f>
        <v>2.6233120281771627</v>
      </c>
      <c r="AI22" s="39">
        <f>'FOCO ISAN'!J21</f>
        <v>68825.949554451945</v>
      </c>
      <c r="AJ22" s="942">
        <f>'ISR 2022'!B17</f>
        <v>1.6915860220620076</v>
      </c>
      <c r="AK22" s="944">
        <f>'ISR 2022'!O17</f>
        <v>3094531.0047690989</v>
      </c>
      <c r="AL22" s="40">
        <f>'ISR Enaje'!T22</f>
        <v>2.6233120281771627</v>
      </c>
      <c r="AM22" s="39">
        <f>'ISR Enaje'!S22</f>
        <v>918159.20986200694</v>
      </c>
      <c r="AN22" s="41"/>
    </row>
    <row r="23" spans="1:40" ht="27" customHeight="1" x14ac:dyDescent="0.25">
      <c r="A23" s="42" t="s">
        <v>59</v>
      </c>
      <c r="B23" s="43">
        <v>2.81</v>
      </c>
      <c r="C23" s="44">
        <f>[1]Datos!I$13*B23%</f>
        <v>27440437.252410002</v>
      </c>
      <c r="D23" s="45">
        <f t="shared" si="0"/>
        <v>2.0656621003724496</v>
      </c>
      <c r="E23" s="49">
        <v>22412</v>
      </c>
      <c r="F23" s="47">
        <f t="shared" si="1"/>
        <v>2.0656621003724496</v>
      </c>
      <c r="G23" s="47">
        <f t="shared" si="2"/>
        <v>1.2393972602234697</v>
      </c>
      <c r="H23" s="48">
        <f>[1]Datos!$K$18*Consolidado!G23/100</f>
        <v>3464410.8961218046</v>
      </c>
      <c r="I23" s="45">
        <v>1.099386</v>
      </c>
      <c r="J23" s="45">
        <f t="shared" si="3"/>
        <v>5.1407695194965264</v>
      </c>
      <c r="K23" s="45">
        <f t="shared" si="4"/>
        <v>1.5422308558489579</v>
      </c>
      <c r="L23" s="49">
        <f>[1]Datos!$K$18*Consolidado!K23/100</f>
        <v>4310903.0113355508</v>
      </c>
      <c r="M23" s="50">
        <f t="shared" si="5"/>
        <v>7775313.9074573554</v>
      </c>
      <c r="N23" s="45">
        <f t="shared" si="6"/>
        <v>2.7816281160724277</v>
      </c>
      <c r="O23" s="45">
        <f t="shared" si="7"/>
        <v>0.35950168687968576</v>
      </c>
      <c r="P23" s="45">
        <f t="shared" si="8"/>
        <v>5.6409933198848687</v>
      </c>
      <c r="Q23" s="45">
        <f t="shared" si="9"/>
        <v>0.56409933198848694</v>
      </c>
      <c r="R23" s="51">
        <f>Q23*[1]Datos!$K$18/100</f>
        <v>1576792.1512780979</v>
      </c>
      <c r="S23" s="174">
        <f>FGP!U22</f>
        <v>3.47024316370329</v>
      </c>
      <c r="T23" s="175">
        <f>FGP!T22</f>
        <v>47312042.893740661</v>
      </c>
      <c r="U23" s="176">
        <f>FFM!S22</f>
        <v>1.2366476598472038</v>
      </c>
      <c r="V23" s="177">
        <f>FFM!N22</f>
        <v>0</v>
      </c>
      <c r="W23" s="178">
        <f>FFM!Q22</f>
        <v>13013893.653607756</v>
      </c>
      <c r="X23" s="381">
        <f>FOFIR!I22</f>
        <v>4.5830385932006529E-2</v>
      </c>
      <c r="Y23" s="178">
        <f>FOFIR!K22</f>
        <v>1015849.5273865964</v>
      </c>
      <c r="Z23" s="936">
        <f>FOCO!J22</f>
        <v>2.8936083217094719</v>
      </c>
      <c r="AA23" s="937">
        <f>FOCO!L22</f>
        <v>2529955.2984922864</v>
      </c>
      <c r="AB23" s="381">
        <f>'IEPS TyA'!E23</f>
        <v>0.05</v>
      </c>
      <c r="AC23" s="178">
        <f>'IEPS TyA'!G23</f>
        <v>1475003.7675000001</v>
      </c>
      <c r="AD23" s="381">
        <f>'IEPS GyD '!F23</f>
        <v>2.0163405252797348</v>
      </c>
      <c r="AE23" s="178">
        <f>'IEPS GyD '!H23</f>
        <v>1250168.0027897391</v>
      </c>
      <c r="AF23" s="385">
        <f>FGP!F22+FGP!L22+FGP!R22</f>
        <v>3.47024316370329</v>
      </c>
      <c r="AG23" s="336">
        <f>'Incentivo ISAN'!J22</f>
        <v>324937.12002901931</v>
      </c>
      <c r="AH23" s="40">
        <f>FGP!F22+FGP!L22+FGP!R22</f>
        <v>3.47024316370329</v>
      </c>
      <c r="AI23" s="39">
        <f>'FOCO ISAN'!J22</f>
        <v>91046.272178566142</v>
      </c>
      <c r="AJ23" s="942">
        <f>'ISR 2022'!B18</f>
        <v>1.9666956149547652</v>
      </c>
      <c r="AK23" s="944">
        <f>'ISR 2022'!O18</f>
        <v>3597807.311035973</v>
      </c>
      <c r="AL23" s="40">
        <f>'ISR Enaje'!T23</f>
        <v>3.47024316370329</v>
      </c>
      <c r="AM23" s="39">
        <f>'ISR Enaje'!S23</f>
        <v>1214585.1072961513</v>
      </c>
      <c r="AN23" s="41"/>
    </row>
    <row r="24" spans="1:40" ht="27" customHeight="1" x14ac:dyDescent="0.25">
      <c r="A24" s="42" t="s">
        <v>60</v>
      </c>
      <c r="B24" s="43">
        <v>8.34</v>
      </c>
      <c r="C24" s="44">
        <f>[1]Datos!I$13*B24%</f>
        <v>81442436.542740002</v>
      </c>
      <c r="D24" s="45">
        <f t="shared" si="0"/>
        <v>8.5784148817626882</v>
      </c>
      <c r="E24" s="49">
        <v>93074</v>
      </c>
      <c r="F24" s="47">
        <f t="shared" si="1"/>
        <v>8.5784148817626882</v>
      </c>
      <c r="G24" s="47">
        <f t="shared" si="2"/>
        <v>5.1470489290576129</v>
      </c>
      <c r="H24" s="48">
        <f>[1]Datos!$K$18*Consolidado!G24/100</f>
        <v>14387229.15159918</v>
      </c>
      <c r="I24" s="45">
        <v>0.94212600000000002</v>
      </c>
      <c r="J24" s="45">
        <f t="shared" si="3"/>
        <v>4.4054159542919269</v>
      </c>
      <c r="K24" s="45">
        <f t="shared" si="4"/>
        <v>1.3216247862875781</v>
      </c>
      <c r="L24" s="49">
        <f>[1]Datos!$K$18*Consolidado!K24/100</f>
        <v>3694256.4399196613</v>
      </c>
      <c r="M24" s="50">
        <f t="shared" si="5"/>
        <v>18081485.591518842</v>
      </c>
      <c r="N24" s="45">
        <f t="shared" si="6"/>
        <v>6.468673715345191</v>
      </c>
      <c r="O24" s="45">
        <f t="shared" si="7"/>
        <v>0.1545911950432387</v>
      </c>
      <c r="P24" s="45">
        <f t="shared" si="8"/>
        <v>2.4257129531739197</v>
      </c>
      <c r="Q24" s="45">
        <f t="shared" si="9"/>
        <v>0.24257129531739197</v>
      </c>
      <c r="R24" s="51">
        <f>Q24*[1]Datos!$K$18/100</f>
        <v>678044.61535797687</v>
      </c>
      <c r="S24" s="174">
        <f>FGP!U23</f>
        <v>6.2041478931823457</v>
      </c>
      <c r="T24" s="175">
        <f>FGP!T23</f>
        <v>116969163.1892515</v>
      </c>
      <c r="U24" s="176">
        <f>FFM!S23</f>
        <v>4.9576265349074955</v>
      </c>
      <c r="V24" s="177">
        <f>FFM!N23</f>
        <v>56.961419953614708</v>
      </c>
      <c r="W24" s="178">
        <f>FFM!Q23</f>
        <v>56525736.109271958</v>
      </c>
      <c r="X24" s="381">
        <f>FOFIR!I23</f>
        <v>0.87340303822295473</v>
      </c>
      <c r="Y24" s="178">
        <f>FOFIR!K23</f>
        <v>4120773.4448151328</v>
      </c>
      <c r="Z24" s="936">
        <f>FOCO!J23</f>
        <v>5.7177624010736645</v>
      </c>
      <c r="AA24" s="937">
        <f>FOCO!L23</f>
        <v>8114283.6078770254</v>
      </c>
      <c r="AB24" s="381">
        <f>'IEPS TyA'!E24</f>
        <v>0.05</v>
      </c>
      <c r="AC24" s="178">
        <f>'IEPS TyA'!G24</f>
        <v>778385.76750000007</v>
      </c>
      <c r="AD24" s="381">
        <f>'IEPS GyD '!F24</f>
        <v>7.6069888365105687</v>
      </c>
      <c r="AE24" s="178">
        <f>'IEPS GyD '!H24</f>
        <v>4824660.6516270917</v>
      </c>
      <c r="AF24" s="385">
        <f>FGP!F23+FGP!L23+FGP!R23</f>
        <v>6.2041478931823457</v>
      </c>
      <c r="AG24" s="336">
        <f>'Incentivo ISAN'!J23</f>
        <v>580926.9995055442</v>
      </c>
      <c r="AH24" s="40">
        <f>FGP!F23+FGP!L23+FGP!R23</f>
        <v>6.2041478931823457</v>
      </c>
      <c r="AI24" s="39">
        <f>'FOCO ISAN'!J23</f>
        <v>162773.76283797907</v>
      </c>
      <c r="AJ24" s="942">
        <f>'ISR 2022'!B19</f>
        <v>4.3661514973901747</v>
      </c>
      <c r="AK24" s="944">
        <f>'ISR 2022'!O19</f>
        <v>7987291.8101575868</v>
      </c>
      <c r="AL24" s="40">
        <f>'ISR Enaje'!T24</f>
        <v>6.2041478931823457</v>
      </c>
      <c r="AM24" s="39">
        <f>'ISR Enaje'!S24</f>
        <v>2171451.7626138208</v>
      </c>
      <c r="AN24" s="41"/>
    </row>
    <row r="25" spans="1:40" ht="27" customHeight="1" x14ac:dyDescent="0.25">
      <c r="A25" s="42" t="s">
        <v>61</v>
      </c>
      <c r="B25" s="43">
        <v>3.5</v>
      </c>
      <c r="C25" s="44">
        <f>[1]Datos!I$13*B25%</f>
        <v>34178480.563500002</v>
      </c>
      <c r="D25" s="45">
        <f t="shared" si="0"/>
        <v>3.6642183857936419</v>
      </c>
      <c r="E25" s="49">
        <v>39756</v>
      </c>
      <c r="F25" s="47">
        <f t="shared" si="1"/>
        <v>3.6642183857936419</v>
      </c>
      <c r="G25" s="47">
        <f t="shared" si="2"/>
        <v>2.1985310314761852</v>
      </c>
      <c r="H25" s="48">
        <f>[1]Datos!$K$18*Consolidado!G25/100</f>
        <v>6145418.5073272558</v>
      </c>
      <c r="I25" s="45">
        <v>2.345564</v>
      </c>
      <c r="J25" s="45">
        <f t="shared" si="3"/>
        <v>10.967943849774647</v>
      </c>
      <c r="K25" s="45">
        <f t="shared" si="4"/>
        <v>3.2903831549323939</v>
      </c>
      <c r="L25" s="49">
        <f>[1]Datos!$K$18*Consolidado!K25/100</f>
        <v>9197405.5617228691</v>
      </c>
      <c r="M25" s="50">
        <f t="shared" si="5"/>
        <v>15342824.069050126</v>
      </c>
      <c r="N25" s="45">
        <f t="shared" si="6"/>
        <v>5.4889141864085786</v>
      </c>
      <c r="O25" s="45">
        <f t="shared" si="7"/>
        <v>0.18218539515085852</v>
      </c>
      <c r="P25" s="45">
        <f t="shared" si="8"/>
        <v>2.8586975653622453</v>
      </c>
      <c r="Q25" s="45">
        <f t="shared" si="9"/>
        <v>0.28586975653622454</v>
      </c>
      <c r="R25" s="51">
        <f>Q25*[1]Datos!$K$18/100</f>
        <v>799074.13966464216</v>
      </c>
      <c r="S25" s="174">
        <f>FGP!U24</f>
        <v>3.8393518392015826</v>
      </c>
      <c r="T25" s="175">
        <f>FGP!T24</f>
        <v>56163708.130525529</v>
      </c>
      <c r="U25" s="176">
        <f>FFM!S24</f>
        <v>1.8630473505185836</v>
      </c>
      <c r="V25" s="177">
        <f>FFM!N24</f>
        <v>0</v>
      </c>
      <c r="W25" s="178">
        <f>FFM!Q24</f>
        <v>16434279.88252807</v>
      </c>
      <c r="X25" s="381">
        <f>FOFIR!I24</f>
        <v>0.1076959029325731</v>
      </c>
      <c r="Y25" s="178">
        <f>FOFIR!K24</f>
        <v>1753381.5184644016</v>
      </c>
      <c r="Z25" s="936">
        <f>FOCO!J24</f>
        <v>3.0983141490256898</v>
      </c>
      <c r="AA25" s="937">
        <f>FOCO!L24</f>
        <v>4317461.1074327668</v>
      </c>
      <c r="AB25" s="381">
        <f>'IEPS TyA'!E25</f>
        <v>0.05</v>
      </c>
      <c r="AC25" s="178">
        <f>'IEPS TyA'!G25</f>
        <v>1268903.7675000001</v>
      </c>
      <c r="AD25" s="381">
        <f>'IEPS GyD '!F25</f>
        <v>3.0057727673021133</v>
      </c>
      <c r="AE25" s="178">
        <f>'IEPS GyD '!H25</f>
        <v>2066236.8923566684</v>
      </c>
      <c r="AF25" s="385">
        <f>FGP!F24+FGP!L24+FGP!R24</f>
        <v>3.8393518392015831</v>
      </c>
      <c r="AG25" s="336">
        <f>'Incentivo ISAN'!J24</f>
        <v>359498.70673528046</v>
      </c>
      <c r="AH25" s="40">
        <f>FGP!F24+FGP!L24+FGP!R24</f>
        <v>3.8393518392015831</v>
      </c>
      <c r="AI25" s="39">
        <f>'FOCO ISAN'!J24</f>
        <v>100730.31083164568</v>
      </c>
      <c r="AJ25" s="942">
        <f>'ISR 2022'!B20</f>
        <v>2.5561071960328481E-2</v>
      </c>
      <c r="AK25" s="944">
        <f>'ISR 2022'!O20</f>
        <v>46760.57183302442</v>
      </c>
      <c r="AL25" s="40">
        <f>'ISR Enaje'!T25</f>
        <v>3.8393518392015831</v>
      </c>
      <c r="AM25" s="39">
        <f>'ISR Enaje'!S25</f>
        <v>1343773.1437205542</v>
      </c>
      <c r="AN25" s="41"/>
    </row>
    <row r="26" spans="1:40" ht="27" customHeight="1" x14ac:dyDescent="0.25">
      <c r="A26" s="42" t="s">
        <v>62</v>
      </c>
      <c r="B26" s="43">
        <v>39</v>
      </c>
      <c r="C26" s="44">
        <f>[1]Datos!I$13*B26%</f>
        <v>380845926.27900004</v>
      </c>
      <c r="D26" s="45">
        <f t="shared" si="0"/>
        <v>35.046669106037996</v>
      </c>
      <c r="E26" s="49">
        <v>380249</v>
      </c>
      <c r="F26" s="47">
        <f t="shared" si="1"/>
        <v>35.046669106037996</v>
      </c>
      <c r="G26" s="47">
        <f t="shared" si="2"/>
        <v>21.028001463622797</v>
      </c>
      <c r="H26" s="48">
        <f>[1]Datos!$K$18*Consolidado!G26/100</f>
        <v>58778278.548965737</v>
      </c>
      <c r="I26" s="45">
        <v>0.84406499999999995</v>
      </c>
      <c r="J26" s="45">
        <f t="shared" si="3"/>
        <v>3.9468790984002302</v>
      </c>
      <c r="K26" s="45">
        <f t="shared" si="4"/>
        <v>1.1840637295200691</v>
      </c>
      <c r="L26" s="49">
        <f>[1]Datos!$K$18*Consolidado!K26/100</f>
        <v>3309740.482653901</v>
      </c>
      <c r="M26" s="50">
        <f t="shared" si="5"/>
        <v>62088019.031619638</v>
      </c>
      <c r="N26" s="45">
        <f t="shared" si="6"/>
        <v>22.212065193142866</v>
      </c>
      <c r="O26" s="45">
        <f t="shared" si="7"/>
        <v>4.5020577389116981E-2</v>
      </c>
      <c r="P26" s="45">
        <f t="shared" si="8"/>
        <v>0.7064244357617202</v>
      </c>
      <c r="Q26" s="45">
        <f t="shared" si="9"/>
        <v>7.0642443576172026E-2</v>
      </c>
      <c r="R26" s="51">
        <f>Q26*[1]Datos!$K$18/100</f>
        <v>197462.47559869001</v>
      </c>
      <c r="S26" s="174">
        <f>FGP!U25</f>
        <v>22.121676932241215</v>
      </c>
      <c r="T26" s="175">
        <f>FGP!T25</f>
        <v>507520980.26954073</v>
      </c>
      <c r="U26" s="176">
        <f>FFM!S25</f>
        <v>35.788233689683715</v>
      </c>
      <c r="V26" s="177">
        <f>FFM!N25</f>
        <v>0</v>
      </c>
      <c r="W26" s="178">
        <f>FFM!Q25</f>
        <v>193592980.38061959</v>
      </c>
      <c r="X26" s="381">
        <f>FOFIR!I25</f>
        <v>63.622656373423837</v>
      </c>
      <c r="Y26" s="178">
        <f>FOFIR!K25</f>
        <v>30656215.33685305</v>
      </c>
      <c r="Z26" s="936">
        <f>FOCO!J25</f>
        <v>24.219218437611406</v>
      </c>
      <c r="AA26" s="937">
        <f>FOCO!L25</f>
        <v>28780399.238702301</v>
      </c>
      <c r="AB26" s="381">
        <f>'IEPS TyA'!E26</f>
        <v>0.05</v>
      </c>
      <c r="AC26" s="178">
        <f>'IEPS TyA'!G26</f>
        <v>504272.76750000007</v>
      </c>
      <c r="AD26" s="381">
        <f>'IEPS GyD '!F26</f>
        <v>34.475044032324909</v>
      </c>
      <c r="AE26" s="178">
        <f>'IEPS GyD '!H26</f>
        <v>19990085.086085141</v>
      </c>
      <c r="AF26" s="385">
        <f>FGP!F25+FGP!L25+FGP!R25</f>
        <v>22.121676932241215</v>
      </c>
      <c r="AG26" s="336">
        <f>'Incentivo ISAN'!J25</f>
        <v>2071368.9656559892</v>
      </c>
      <c r="AH26" s="40">
        <f>FGP!F25+FGP!L25+FGP!R25</f>
        <v>22.121676932241215</v>
      </c>
      <c r="AI26" s="39">
        <f>'FOCO ISAN'!J25</f>
        <v>580390.51559424074</v>
      </c>
      <c r="AJ26" s="942">
        <f>'ISR 2022'!B21</f>
        <v>33.258097581135424</v>
      </c>
      <c r="AK26" s="944">
        <f>'ISR 2022'!O21</f>
        <v>60841253.582247406</v>
      </c>
      <c r="AL26" s="40">
        <f>'ISR Enaje'!T26</f>
        <v>22.121676932241215</v>
      </c>
      <c r="AM26" s="39">
        <f>'ISR Enaje'!S26</f>
        <v>7742586.926284425</v>
      </c>
      <c r="AN26" s="41"/>
    </row>
    <row r="27" spans="1:40" ht="27" customHeight="1" x14ac:dyDescent="0.25">
      <c r="A27" s="42" t="s">
        <v>63</v>
      </c>
      <c r="B27" s="43">
        <v>3.79</v>
      </c>
      <c r="C27" s="44">
        <f>[1]Datos!I$13*B27%</f>
        <v>37010411.810190007</v>
      </c>
      <c r="D27" s="45">
        <f t="shared" si="0"/>
        <v>2.7677955057194654</v>
      </c>
      <c r="E27" s="49">
        <v>30030</v>
      </c>
      <c r="F27" s="47">
        <f t="shared" si="1"/>
        <v>2.7677955057194654</v>
      </c>
      <c r="G27" s="47">
        <f t="shared" si="2"/>
        <v>1.6606773034316793</v>
      </c>
      <c r="H27" s="48">
        <f>[1]Datos!$K$18*Consolidado!G27/100</f>
        <v>4641989.0777502144</v>
      </c>
      <c r="I27" s="45">
        <v>0.97075900000000004</v>
      </c>
      <c r="J27" s="45">
        <f t="shared" si="3"/>
        <v>4.5393049192703279</v>
      </c>
      <c r="K27" s="45">
        <f t="shared" si="4"/>
        <v>1.3617914757810983</v>
      </c>
      <c r="L27" s="49">
        <f>[1]Datos!$K$18*Consolidado!K27/100</f>
        <v>3806531.9154337854</v>
      </c>
      <c r="M27" s="50">
        <f t="shared" si="5"/>
        <v>8448520.9931840003</v>
      </c>
      <c r="N27" s="45">
        <f t="shared" si="6"/>
        <v>3.0224687792127778</v>
      </c>
      <c r="O27" s="45">
        <f t="shared" si="7"/>
        <v>0.33085536131177395</v>
      </c>
      <c r="P27" s="45">
        <f t="shared" si="8"/>
        <v>5.1914996538873615</v>
      </c>
      <c r="Q27" s="45">
        <f t="shared" si="9"/>
        <v>0.51914996538873615</v>
      </c>
      <c r="R27" s="51">
        <f>Q27*[1]Datos!$K$18/100</f>
        <v>1451147.9527473762</v>
      </c>
      <c r="S27" s="174">
        <f>FGP!U26</f>
        <v>3.78887364871294</v>
      </c>
      <c r="T27" s="175">
        <f>FGP!T26</f>
        <v>58706586.810130335</v>
      </c>
      <c r="U27" s="176">
        <f>FFM!S26</f>
        <v>1.4883398017175709</v>
      </c>
      <c r="V27" s="177">
        <f>FFM!N26</f>
        <v>20.809982014209979</v>
      </c>
      <c r="W27" s="178">
        <f>FFM!Q26</f>
        <v>23639677.141894173</v>
      </c>
      <c r="X27" s="381">
        <f>FOFIR!I26</f>
        <v>6.5755564242799422E-2</v>
      </c>
      <c r="Y27" s="178">
        <f>FOFIR!K26</f>
        <v>1337933.3126007039</v>
      </c>
      <c r="Z27" s="936">
        <f>FOCO!J26</f>
        <v>2.931527964862414</v>
      </c>
      <c r="AA27" s="937">
        <f>FOCO!L26</f>
        <v>2889649.4397517093</v>
      </c>
      <c r="AB27" s="381">
        <f>'IEPS TyA'!E27</f>
        <v>0.05</v>
      </c>
      <c r="AC27" s="178">
        <f>'IEPS TyA'!G27</f>
        <v>1205012.7675000001</v>
      </c>
      <c r="AD27" s="381">
        <f>'IEPS GyD '!F27</f>
        <v>2.4334334852880231</v>
      </c>
      <c r="AE27" s="178">
        <f>'IEPS GyD '!H27</f>
        <v>1605321.7418799212</v>
      </c>
      <c r="AF27" s="385">
        <f>FGP!F26+FGP!L26+FGP!R26</f>
        <v>3.7888736487129404</v>
      </c>
      <c r="AG27" s="336">
        <f>'Incentivo ISAN'!J26</f>
        <v>354772.16825716646</v>
      </c>
      <c r="AH27" s="40">
        <f>FGP!F26+FGP!L26+FGP!R26</f>
        <v>3.7888736487129404</v>
      </c>
      <c r="AI27" s="39">
        <f>'FOCO ISAN'!J26</f>
        <v>99405.950879472744</v>
      </c>
      <c r="AJ27" s="942">
        <f>'ISR 2022'!B22</f>
        <v>4.8369742120612678</v>
      </c>
      <c r="AK27" s="944">
        <f>'ISR 2022'!O22</f>
        <v>8848599.1686348282</v>
      </c>
      <c r="AL27" s="40">
        <f>'ISR Enaje'!T27</f>
        <v>3.7888736487129404</v>
      </c>
      <c r="AM27" s="39">
        <f>'ISR Enaje'!S27</f>
        <v>1326105.7770495291</v>
      </c>
      <c r="AN27" s="41"/>
    </row>
    <row r="28" spans="1:40" ht="27" customHeight="1" thickBot="1" x14ac:dyDescent="0.3">
      <c r="A28" s="52" t="s">
        <v>64</v>
      </c>
      <c r="B28" s="53">
        <v>3.1</v>
      </c>
      <c r="C28" s="54">
        <f>[1]Datos!I$13*B28%</f>
        <v>30272368.4991</v>
      </c>
      <c r="D28" s="55">
        <f t="shared" si="0"/>
        <v>4.5256175465147246</v>
      </c>
      <c r="E28" s="56">
        <v>49102</v>
      </c>
      <c r="F28" s="57">
        <f t="shared" si="1"/>
        <v>4.5256175465147246</v>
      </c>
      <c r="G28" s="57">
        <f t="shared" si="2"/>
        <v>2.7153705279088345</v>
      </c>
      <c r="H28" s="58">
        <f>[1]Datos!$K$18*Consolidado!G28/100</f>
        <v>7590108.1483746581</v>
      </c>
      <c r="I28" s="55">
        <v>1.0003390000000001</v>
      </c>
      <c r="J28" s="55">
        <f t="shared" si="3"/>
        <v>4.6776220912069428</v>
      </c>
      <c r="K28" s="55">
        <f t="shared" si="4"/>
        <v>1.4032866273620828</v>
      </c>
      <c r="L28" s="56">
        <f>[1]Datos!$K$18*Consolidado!K28/100</f>
        <v>3922520.7592750802</v>
      </c>
      <c r="M28" s="59">
        <f t="shared" si="5"/>
        <v>11512628.907649739</v>
      </c>
      <c r="N28" s="55">
        <f t="shared" si="6"/>
        <v>4.1186571552709168</v>
      </c>
      <c r="O28" s="55">
        <f t="shared" si="7"/>
        <v>0.24279758239168661</v>
      </c>
      <c r="P28" s="55">
        <f t="shared" si="8"/>
        <v>3.80977222177561</v>
      </c>
      <c r="Q28" s="55">
        <f t="shared" si="9"/>
        <v>0.38097722217756103</v>
      </c>
      <c r="R28" s="60">
        <f>Q28*[1]Datos!$K$18/100</f>
        <v>1064922.1860053025</v>
      </c>
      <c r="S28" s="174">
        <f>FGP!U27</f>
        <v>4.8203192371739387</v>
      </c>
      <c r="T28" s="175">
        <f>FGP!T27</f>
        <v>57874896.168723077</v>
      </c>
      <c r="U28" s="176">
        <f>FFM!S27</f>
        <v>5.4327849761742959</v>
      </c>
      <c r="V28" s="177">
        <f>FFM!N27</f>
        <v>0</v>
      </c>
      <c r="W28" s="178">
        <f>FFM!Q27</f>
        <v>17190886.853058908</v>
      </c>
      <c r="X28" s="382">
        <f>FOFIR!I27</f>
        <v>1.4669546677913303</v>
      </c>
      <c r="Y28" s="383">
        <f>FOFIR!K27</f>
        <v>2339248.3634742969</v>
      </c>
      <c r="Z28" s="936">
        <f>FOCO!J27</f>
        <v>4.2618673965262408</v>
      </c>
      <c r="AA28" s="938">
        <f>FOCO!L27</f>
        <v>4141114.3116888865</v>
      </c>
      <c r="AB28" s="382">
        <f>'IEPS TyA'!E28</f>
        <v>0.05</v>
      </c>
      <c r="AC28" s="178">
        <f>'IEPS TyA'!G28</f>
        <v>1376070.7675000001</v>
      </c>
      <c r="AD28" s="382">
        <f>'IEPS GyD '!F28</f>
        <v>5.2797509583506006</v>
      </c>
      <c r="AE28" s="383">
        <f>'IEPS GyD '!H28</f>
        <v>2709826.1944912644</v>
      </c>
      <c r="AF28" s="386">
        <f>FGP!F27+FGP!L27+FGP!R27</f>
        <v>4.8203192371739387</v>
      </c>
      <c r="AG28" s="336">
        <f>'Incentivo ISAN'!J27</f>
        <v>451351.84385070362</v>
      </c>
      <c r="AH28" s="40">
        <f>FGP!F27+FGP!L27+FGP!R27</f>
        <v>4.8203192371739387</v>
      </c>
      <c r="AI28" s="39">
        <f>'FOCO ISAN'!J27</f>
        <v>126467.2464009617</v>
      </c>
      <c r="AJ28" s="942">
        <f>'ISR 2022'!B23</f>
        <v>7.2226947942566548</v>
      </c>
      <c r="AK28" s="945">
        <f>'ISR 2022'!O23</f>
        <v>13212956.767972326</v>
      </c>
      <c r="AL28" s="40">
        <f>'ISR Enaje'!T28</f>
        <v>4.8203192371739387</v>
      </c>
      <c r="AM28" s="39">
        <f>'ISR Enaje'!S28</f>
        <v>1687111.7330108788</v>
      </c>
      <c r="AN28" s="41"/>
    </row>
    <row r="29" spans="1:40" ht="15.75" thickBot="1" x14ac:dyDescent="0.3">
      <c r="A29" s="61" t="s">
        <v>65</v>
      </c>
      <c r="B29" s="62">
        <f>SUM(B9:B28)</f>
        <v>100</v>
      </c>
      <c r="C29" s="63">
        <f>SUM(C9:C28)</f>
        <v>976528016.0999999</v>
      </c>
      <c r="D29" s="64">
        <f>SUM(D9:D28)</f>
        <v>99.999999999999986</v>
      </c>
      <c r="E29" s="65">
        <f>SUM(E9:E28)</f>
        <v>1084979</v>
      </c>
      <c r="F29" s="66">
        <f t="shared" si="1"/>
        <v>99.999999999999986</v>
      </c>
      <c r="G29" s="66">
        <f t="shared" ref="G29:L29" si="10">SUM(G9:G28)</f>
        <v>59.999999999999993</v>
      </c>
      <c r="H29" s="67">
        <f t="shared" si="10"/>
        <v>167714307.94499996</v>
      </c>
      <c r="I29" s="68">
        <f t="shared" si="10"/>
        <v>21.385630999999997</v>
      </c>
      <c r="J29" s="69">
        <f t="shared" si="10"/>
        <v>100.00000000000001</v>
      </c>
      <c r="K29" s="69">
        <f t="shared" si="10"/>
        <v>29.999999999999996</v>
      </c>
      <c r="L29" s="70">
        <f t="shared" si="10"/>
        <v>83857153.972500011</v>
      </c>
      <c r="M29" s="71">
        <f t="shared" si="5"/>
        <v>251571461.91749996</v>
      </c>
      <c r="N29" s="69">
        <f t="shared" ref="N29:T29" si="11">SUM(N9:N28)</f>
        <v>90</v>
      </c>
      <c r="O29" s="69">
        <f t="shared" si="11"/>
        <v>6.3730209644535289</v>
      </c>
      <c r="P29" s="69">
        <f t="shared" si="11"/>
        <v>100</v>
      </c>
      <c r="Q29" s="68">
        <f t="shared" si="11"/>
        <v>10.000000000000002</v>
      </c>
      <c r="R29" s="72">
        <f t="shared" si="11"/>
        <v>27952384.657499999</v>
      </c>
      <c r="S29" s="179">
        <f>SUM(S9:S28)</f>
        <v>99.999999999999972</v>
      </c>
      <c r="T29" s="180">
        <f t="shared" si="11"/>
        <v>1549156639.0500002</v>
      </c>
      <c r="U29" s="181">
        <v>100</v>
      </c>
      <c r="V29" s="182">
        <v>100</v>
      </c>
      <c r="W29" s="183">
        <f>SUM(W9:W28)</f>
        <v>531980703.00000006</v>
      </c>
      <c r="X29" s="184">
        <v>100</v>
      </c>
      <c r="Y29" s="939">
        <f t="shared" ref="Y29:AE29" si="12">SUM(Y9:Y28)</f>
        <v>67724007.075000003</v>
      </c>
      <c r="Z29" s="940">
        <f t="shared" si="12"/>
        <v>99.999999999999986</v>
      </c>
      <c r="AA29" s="183">
        <f t="shared" si="12"/>
        <v>103788845.77499999</v>
      </c>
      <c r="AB29" s="184">
        <v>100</v>
      </c>
      <c r="AC29" s="183">
        <f>SUM(AC9:AC28)+5</f>
        <v>29170315.349999987</v>
      </c>
      <c r="AD29" s="184">
        <v>99.999999999999986</v>
      </c>
      <c r="AE29" s="183">
        <f t="shared" si="12"/>
        <v>56918709.000000007</v>
      </c>
      <c r="AF29" s="184">
        <f>SUM(AF9:AF28)</f>
        <v>99.999999999999972</v>
      </c>
      <c r="AG29" s="183">
        <f>SUM(AG9:AG28)</f>
        <v>9363525.9749999996</v>
      </c>
      <c r="AH29" s="74">
        <f>SUM(AH9:AH28)</f>
        <v>99.999999999999972</v>
      </c>
      <c r="AI29" s="73">
        <f>SUM(AI9:AI28)</f>
        <v>2623628.0249999999</v>
      </c>
      <c r="AJ29" s="943">
        <f t="shared" ref="AJ29" si="13">SUM(AJ9:AJ28)</f>
        <v>99.999999999999986</v>
      </c>
      <c r="AK29" s="73">
        <f>SUM(AK9:AK28)</f>
        <v>182936662.06800002</v>
      </c>
      <c r="AL29" s="74">
        <f>SUM(AL9:AL28)</f>
        <v>99.999999999999972</v>
      </c>
      <c r="AM29" s="73">
        <f>SUM(AM9:AM28)</f>
        <v>35000000</v>
      </c>
    </row>
    <row r="30" spans="1:40" x14ac:dyDescent="0.25">
      <c r="A30" s="8"/>
      <c r="B30" s="75"/>
      <c r="C30" s="8"/>
      <c r="D30" s="8"/>
      <c r="E30" s="8"/>
      <c r="F30" s="8"/>
      <c r="G30" s="8"/>
      <c r="H30" s="76"/>
    </row>
    <row r="31" spans="1:40" x14ac:dyDescent="0.25">
      <c r="A31" s="8"/>
      <c r="B31" s="8"/>
      <c r="C31" s="8"/>
      <c r="D31" s="8"/>
      <c r="E31" s="8"/>
      <c r="F31" s="8"/>
      <c r="G31" s="8"/>
      <c r="H31" s="76"/>
      <c r="T31" s="77"/>
      <c r="U31" s="77"/>
      <c r="V31" s="77"/>
    </row>
    <row r="34" spans="24:30" x14ac:dyDescent="0.25">
      <c r="X34" t="s">
        <v>367</v>
      </c>
      <c r="AC34" s="213"/>
      <c r="AD34" s="213"/>
    </row>
    <row r="35" spans="24:30" x14ac:dyDescent="0.25">
      <c r="AC35" s="213"/>
      <c r="AD35" s="213"/>
    </row>
    <row r="36" spans="24:30" x14ac:dyDescent="0.25">
      <c r="AC36" s="213"/>
      <c r="AD36" s="213"/>
    </row>
    <row r="37" spans="24:30" x14ac:dyDescent="0.25">
      <c r="AC37" s="213"/>
      <c r="AD37" s="213"/>
    </row>
    <row r="38" spans="24:30" x14ac:dyDescent="0.25">
      <c r="AC38" s="213"/>
      <c r="AD38" s="213"/>
    </row>
    <row r="39" spans="24:30" x14ac:dyDescent="0.25">
      <c r="AC39" s="213"/>
      <c r="AD39" s="213"/>
    </row>
    <row r="40" spans="24:30" x14ac:dyDescent="0.25">
      <c r="AC40" s="213"/>
      <c r="AD40" s="213"/>
    </row>
    <row r="41" spans="24:30" x14ac:dyDescent="0.25">
      <c r="AC41" s="213"/>
      <c r="AD41" s="213"/>
    </row>
    <row r="42" spans="24:30" x14ac:dyDescent="0.25">
      <c r="AC42" s="213"/>
      <c r="AD42" s="213"/>
    </row>
    <row r="43" spans="24:30" x14ac:dyDescent="0.25">
      <c r="AC43" s="213"/>
      <c r="AD43" s="213"/>
    </row>
    <row r="44" spans="24:30" x14ac:dyDescent="0.25">
      <c r="AC44" s="213"/>
      <c r="AD44" s="213"/>
    </row>
    <row r="45" spans="24:30" x14ac:dyDescent="0.25">
      <c r="AC45" s="213"/>
      <c r="AD45" s="213"/>
    </row>
    <row r="46" spans="24:30" x14ac:dyDescent="0.25">
      <c r="AC46" s="213"/>
      <c r="AD46" s="213"/>
    </row>
    <row r="47" spans="24:30" x14ac:dyDescent="0.25">
      <c r="AC47" s="213"/>
      <c r="AD47" s="213"/>
    </row>
    <row r="48" spans="24:30" x14ac:dyDescent="0.25">
      <c r="AC48" s="213"/>
      <c r="AD48" s="213"/>
    </row>
    <row r="49" spans="29:30" x14ac:dyDescent="0.25">
      <c r="AC49" s="213"/>
      <c r="AD49" s="213"/>
    </row>
    <row r="50" spans="29:30" x14ac:dyDescent="0.25">
      <c r="AC50" s="213"/>
      <c r="AD50" s="213"/>
    </row>
    <row r="51" spans="29:30" x14ac:dyDescent="0.25">
      <c r="AC51" s="213"/>
      <c r="AD51" s="213"/>
    </row>
    <row r="52" spans="29:30" x14ac:dyDescent="0.25">
      <c r="AC52" s="213"/>
      <c r="AD52" s="213"/>
    </row>
    <row r="53" spans="29:30" x14ac:dyDescent="0.25">
      <c r="AC53" s="213"/>
      <c r="AD53" s="213"/>
    </row>
    <row r="54" spans="29:30" x14ac:dyDescent="0.25">
      <c r="AC54" s="213"/>
      <c r="AD54" s="213"/>
    </row>
    <row r="55" spans="29:30" x14ac:dyDescent="0.25">
      <c r="AC55" s="213"/>
    </row>
    <row r="56" spans="29:30" x14ac:dyDescent="0.25">
      <c r="AC56" s="213"/>
    </row>
    <row r="57" spans="29:30" x14ac:dyDescent="0.25">
      <c r="AC57" s="213"/>
    </row>
    <row r="58" spans="29:30" x14ac:dyDescent="0.25">
      <c r="AC58" s="213"/>
    </row>
    <row r="59" spans="29:30" x14ac:dyDescent="0.25">
      <c r="AC59" s="213"/>
    </row>
    <row r="60" spans="29:30" x14ac:dyDescent="0.25">
      <c r="AC60" s="213"/>
    </row>
    <row r="61" spans="29:30" x14ac:dyDescent="0.25">
      <c r="AC61" s="213"/>
    </row>
    <row r="62" spans="29:30" x14ac:dyDescent="0.25">
      <c r="AC62" s="213"/>
    </row>
    <row r="63" spans="29:30" x14ac:dyDescent="0.25">
      <c r="AC63" s="213"/>
    </row>
    <row r="64" spans="29:30" x14ac:dyDescent="0.25">
      <c r="AC64" s="213"/>
    </row>
    <row r="65" spans="29:29" x14ac:dyDescent="0.25">
      <c r="AC65" s="213"/>
    </row>
    <row r="66" spans="29:29" x14ac:dyDescent="0.25">
      <c r="AC66" s="213"/>
    </row>
    <row r="67" spans="29:29" x14ac:dyDescent="0.25">
      <c r="AC67" s="213"/>
    </row>
    <row r="68" spans="29:29" x14ac:dyDescent="0.25">
      <c r="AC68" s="213"/>
    </row>
    <row r="69" spans="29:29" x14ac:dyDescent="0.25">
      <c r="AC69" s="213"/>
    </row>
    <row r="70" spans="29:29" x14ac:dyDescent="0.25">
      <c r="AC70" s="213"/>
    </row>
    <row r="71" spans="29:29" x14ac:dyDescent="0.25">
      <c r="AC71" s="213"/>
    </row>
    <row r="72" spans="29:29" x14ac:dyDescent="0.25">
      <c r="AC72" s="213"/>
    </row>
    <row r="73" spans="29:29" x14ac:dyDescent="0.25">
      <c r="AC73" s="213"/>
    </row>
    <row r="74" spans="29:29" x14ac:dyDescent="0.25">
      <c r="AC74" s="213"/>
    </row>
    <row r="75" spans="29:29" x14ac:dyDescent="0.25">
      <c r="AC75" s="213"/>
    </row>
    <row r="76" spans="29:29" x14ac:dyDescent="0.25">
      <c r="AC76" s="213"/>
    </row>
    <row r="77" spans="29:29" x14ac:dyDescent="0.25">
      <c r="AC77" s="213"/>
    </row>
    <row r="78" spans="29:29" x14ac:dyDescent="0.25">
      <c r="AC78" s="213"/>
    </row>
    <row r="79" spans="29:29" x14ac:dyDescent="0.25">
      <c r="AC79" s="213"/>
    </row>
    <row r="80" spans="29:29" x14ac:dyDescent="0.25">
      <c r="AC80" s="213"/>
    </row>
    <row r="81" spans="29:29" x14ac:dyDescent="0.25">
      <c r="AC81" s="213"/>
    </row>
    <row r="82" spans="29:29" x14ac:dyDescent="0.25">
      <c r="AC82" s="213"/>
    </row>
    <row r="83" spans="29:29" x14ac:dyDescent="0.25">
      <c r="AC83" s="213"/>
    </row>
    <row r="84" spans="29:29" x14ac:dyDescent="0.25">
      <c r="AC84" s="213"/>
    </row>
    <row r="85" spans="29:29" x14ac:dyDescent="0.25">
      <c r="AC85" s="213"/>
    </row>
    <row r="86" spans="29:29" x14ac:dyDescent="0.25">
      <c r="AC86" s="213"/>
    </row>
    <row r="87" spans="29:29" x14ac:dyDescent="0.25">
      <c r="AC87" s="213"/>
    </row>
  </sheetData>
  <mergeCells count="46">
    <mergeCell ref="W5:W7"/>
    <mergeCell ref="Y5:Y7"/>
    <mergeCell ref="S5:S8"/>
    <mergeCell ref="U5:U8"/>
    <mergeCell ref="T5:T7"/>
    <mergeCell ref="V5:V8"/>
    <mergeCell ref="A1:AI1"/>
    <mergeCell ref="AH4:AI4"/>
    <mergeCell ref="B5:B7"/>
    <mergeCell ref="E5:H5"/>
    <mergeCell ref="I5:L5"/>
    <mergeCell ref="M5:M8"/>
    <mergeCell ref="AC5:AC7"/>
    <mergeCell ref="AE5:AE7"/>
    <mergeCell ref="AI5:AI7"/>
    <mergeCell ref="D6:E6"/>
    <mergeCell ref="I6:I7"/>
    <mergeCell ref="J6:J7"/>
    <mergeCell ref="L6:L7"/>
    <mergeCell ref="N6:N8"/>
    <mergeCell ref="D7:E7"/>
    <mergeCell ref="N5:R5"/>
    <mergeCell ref="AL4:AM4"/>
    <mergeCell ref="AL5:AL8"/>
    <mergeCell ref="AM5:AM7"/>
    <mergeCell ref="A2:AI2"/>
    <mergeCell ref="X5:X8"/>
    <mergeCell ref="AB5:AB8"/>
    <mergeCell ref="AD5:AD8"/>
    <mergeCell ref="AF5:AF8"/>
    <mergeCell ref="AH5:AH8"/>
    <mergeCell ref="AF4:AG4"/>
    <mergeCell ref="AG5:AG7"/>
    <mergeCell ref="A3:T3"/>
    <mergeCell ref="A4:A8"/>
    <mergeCell ref="S4:T4"/>
    <mergeCell ref="U4:W4"/>
    <mergeCell ref="X4:Y4"/>
    <mergeCell ref="AJ4:AK4"/>
    <mergeCell ref="AJ5:AJ8"/>
    <mergeCell ref="AK5:AK7"/>
    <mergeCell ref="Z4:AA4"/>
    <mergeCell ref="Z5:Z8"/>
    <mergeCell ref="AA5:AA7"/>
    <mergeCell ref="AB4:AC4"/>
    <mergeCell ref="AD4:AE4"/>
  </mergeCells>
  <pageMargins left="0.9055118110236221" right="0.15748031496062992" top="0.74803149606299213" bottom="0.74803149606299213" header="0.31496062992125984" footer="0.31496062992125984"/>
  <pageSetup paperSize="5" scale="57"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R28"/>
  <sheetViews>
    <sheetView workbookViewId="0">
      <selection sqref="A1:O1"/>
    </sheetView>
  </sheetViews>
  <sheetFormatPr baseColWidth="10" defaultRowHeight="12.75" x14ac:dyDescent="0.2"/>
  <cols>
    <col min="1" max="1" width="16" style="640" customWidth="1"/>
    <col min="2" max="2" width="9.28515625" style="640" hidden="1" customWidth="1"/>
    <col min="3" max="15" width="9.7109375" style="640" customWidth="1"/>
    <col min="16" max="17" width="11.42578125" style="640"/>
    <col min="18" max="18" width="13.7109375" style="640" bestFit="1" customWidth="1"/>
    <col min="19" max="16384" width="11.42578125" style="640"/>
  </cols>
  <sheetData>
    <row r="1" spans="1:15" x14ac:dyDescent="0.2">
      <c r="A1" s="1237" t="s">
        <v>426</v>
      </c>
      <c r="B1" s="1237"/>
      <c r="C1" s="1237"/>
      <c r="D1" s="1237"/>
      <c r="E1" s="1237"/>
      <c r="F1" s="1237"/>
      <c r="G1" s="1237"/>
      <c r="H1" s="1237"/>
      <c r="I1" s="1237"/>
      <c r="J1" s="1237"/>
      <c r="K1" s="1237"/>
      <c r="L1" s="1237"/>
      <c r="M1" s="1237"/>
      <c r="N1" s="1237"/>
      <c r="O1" s="1237"/>
    </row>
    <row r="2" spans="1:15" ht="13.5" thickBot="1" x14ac:dyDescent="0.25"/>
    <row r="3" spans="1:15" ht="23.25" thickBot="1" x14ac:dyDescent="0.25">
      <c r="A3" s="641" t="s">
        <v>346</v>
      </c>
      <c r="B3" s="642" t="s">
        <v>281</v>
      </c>
      <c r="C3" s="641" t="s">
        <v>1</v>
      </c>
      <c r="D3" s="643" t="s">
        <v>2</v>
      </c>
      <c r="E3" s="641" t="s">
        <v>3</v>
      </c>
      <c r="F3" s="643" t="s">
        <v>4</v>
      </c>
      <c r="G3" s="641" t="s">
        <v>5</v>
      </c>
      <c r="H3" s="641" t="s">
        <v>6</v>
      </c>
      <c r="I3" s="641" t="s">
        <v>7</v>
      </c>
      <c r="J3" s="643" t="s">
        <v>8</v>
      </c>
      <c r="K3" s="641" t="s">
        <v>9</v>
      </c>
      <c r="L3" s="643" t="s">
        <v>10</v>
      </c>
      <c r="M3" s="641" t="s">
        <v>11</v>
      </c>
      <c r="N3" s="641" t="s">
        <v>12</v>
      </c>
      <c r="O3" s="644" t="s">
        <v>168</v>
      </c>
    </row>
    <row r="4" spans="1:15" x14ac:dyDescent="0.2">
      <c r="A4" s="645" t="s">
        <v>282</v>
      </c>
      <c r="B4" s="665"/>
      <c r="C4" s="647">
        <f>'F.F.M30%'!C7+'F.F.M.70%'!C7+'F.F.M.ESTIIMACIONES 2014'!C7</f>
        <v>1381876.409212888</v>
      </c>
      <c r="D4" s="647">
        <f>'F.F.M30%'!D7+'F.F.M.70%'!D7+'F.F.M.ESTIIMACIONES 2014'!D7</f>
        <v>1785091.9662245172</v>
      </c>
      <c r="E4" s="647">
        <f>'F.F.M30%'!E7+'F.F.M.70%'!E7+'F.F.M.ESTIIMACIONES 2014'!E7</f>
        <v>1326458.2890333377</v>
      </c>
      <c r="F4" s="647">
        <f>'F.F.M30%'!F7+'F.F.M.70%'!F7+'F.F.M.ESTIIMACIONES 2014'!F7</f>
        <v>1699298.1797947297</v>
      </c>
      <c r="G4" s="647">
        <f>'F.F.M30%'!G7+'F.F.M.70%'!G7+'F.F.M.ESTIIMACIONES 2014'!G7</f>
        <v>1281846.1026691862</v>
      </c>
      <c r="H4" s="647">
        <f>'F.F.M30%'!H7+'F.F.M.70%'!H7+'F.F.M.ESTIIMACIONES 2014'!H7</f>
        <v>1335268.7421789756</v>
      </c>
      <c r="I4" s="647">
        <f>'F.F.M30%'!I7+'F.F.M.70%'!I7+'F.F.M.ESTIIMACIONES 2014'!I7</f>
        <v>1464299.5510006496</v>
      </c>
      <c r="J4" s="647">
        <f>'F.F.M30%'!J7+'F.F.M.70%'!J7+'F.F.M.ESTIIMACIONES 2014'!J7</f>
        <v>1376392.6840629717</v>
      </c>
      <c r="K4" s="647">
        <f>'F.F.M30%'!K7+'F.F.M.70%'!K7+'F.F.M.ESTIIMACIONES 2014'!K7</f>
        <v>1420584.3916345623</v>
      </c>
      <c r="L4" s="647">
        <f>'F.F.M30%'!L7+'F.F.M.70%'!L7+'F.F.M.ESTIIMACIONES 2014'!L7</f>
        <v>1425725.1129594496</v>
      </c>
      <c r="M4" s="647">
        <f>'F.F.M30%'!M7+'F.F.M.70%'!M7+'F.F.M.ESTIIMACIONES 2014'!M7</f>
        <v>1311467.8819656372</v>
      </c>
      <c r="N4" s="647">
        <f>'F.F.M30%'!N7+'F.F.M.70%'!N7+'F.F.M.ESTIIMACIONES 2014'!N7</f>
        <v>1403035.8698992247</v>
      </c>
      <c r="O4" s="648">
        <f t="shared" ref="O4:O24" si="0">SUM(C4:N4)</f>
        <v>17211345.18063613</v>
      </c>
    </row>
    <row r="5" spans="1:15" x14ac:dyDescent="0.2">
      <c r="A5" s="645" t="s">
        <v>147</v>
      </c>
      <c r="B5" s="665"/>
      <c r="C5" s="647">
        <f>'F.F.M30%'!C8+'F.F.M.70%'!C8+'F.F.M.ESTIIMACIONES 2014'!C8</f>
        <v>917790.35039023613</v>
      </c>
      <c r="D5" s="647">
        <f>'F.F.M30%'!D8+'F.F.M.70%'!D8+'F.F.M.ESTIIMACIONES 2014'!D8</f>
        <v>1141331.808143368</v>
      </c>
      <c r="E5" s="647">
        <f>'F.F.M30%'!E8+'F.F.M.70%'!E8+'F.F.M.ESTIIMACIONES 2014'!E8</f>
        <v>886148.68173249427</v>
      </c>
      <c r="F5" s="647">
        <f>'F.F.M30%'!F8+'F.F.M.70%'!F8+'F.F.M.ESTIIMACIONES 2014'!F8</f>
        <v>1079055.6775902854</v>
      </c>
      <c r="G5" s="647">
        <f>'F.F.M30%'!G8+'F.F.M.70%'!G8+'F.F.M.ESTIIMACIONES 2014'!G8</f>
        <v>845914.79648642952</v>
      </c>
      <c r="H5" s="647">
        <f>'F.F.M30%'!H8+'F.F.M.70%'!H8+'F.F.M.ESTIIMACIONES 2014'!H8</f>
        <v>889851.74233642977</v>
      </c>
      <c r="I5" s="647">
        <f>'F.F.M30%'!I8+'F.F.M.70%'!I8+'F.F.M.ESTIIMACIONES 2014'!I8</f>
        <v>982793.16636806726</v>
      </c>
      <c r="J5" s="647">
        <f>'F.F.M30%'!J8+'F.F.M.70%'!J8+'F.F.M.ESTIIMACIONES 2014'!J8</f>
        <v>895490.44406787993</v>
      </c>
      <c r="K5" s="647">
        <f>'F.F.M30%'!K8+'F.F.M.70%'!K8+'F.F.M.ESTIIMACIONES 2014'!K8</f>
        <v>949579.95285169897</v>
      </c>
      <c r="L5" s="647">
        <f>'F.F.M30%'!L8+'F.F.M.70%'!L8+'F.F.M.ESTIIMACIONES 2014'!L8</f>
        <v>950997.40734134789</v>
      </c>
      <c r="M5" s="647">
        <f>'F.F.M30%'!M8+'F.F.M.70%'!M8+'F.F.M.ESTIIMACIONES 2014'!M8</f>
        <v>867507.32226784131</v>
      </c>
      <c r="N5" s="647">
        <f>'F.F.M30%'!N8+'F.F.M.70%'!N8+'F.F.M.ESTIIMACIONES 2014'!N8</f>
        <v>943859.39059572411</v>
      </c>
      <c r="O5" s="648">
        <f t="shared" si="0"/>
        <v>11350320.740171803</v>
      </c>
    </row>
    <row r="6" spans="1:15" x14ac:dyDescent="0.2">
      <c r="A6" s="645" t="s">
        <v>148</v>
      </c>
      <c r="B6" s="665"/>
      <c r="C6" s="647">
        <f>'F.F.M30%'!C9+'F.F.M.70%'!C9+'F.F.M.ESTIIMACIONES 2014'!C9</f>
        <v>856731.557956042</v>
      </c>
      <c r="D6" s="647">
        <f>'F.F.M30%'!D9+'F.F.M.70%'!D9+'F.F.M.ESTIIMACIONES 2014'!D9</f>
        <v>1049023.0825264845</v>
      </c>
      <c r="E6" s="647">
        <f>'F.F.M30%'!E9+'F.F.M.70%'!E9+'F.F.M.ESTIIMACIONES 2014'!E9</f>
        <v>829106.24884075706</v>
      </c>
      <c r="F6" s="647">
        <f>'F.F.M30%'!F9+'F.F.M.70%'!F9+'F.F.M.ESTIIMACIONES 2014'!F9</f>
        <v>988930.5933521525</v>
      </c>
      <c r="G6" s="647">
        <f>'F.F.M30%'!G9+'F.F.M.70%'!G9+'F.F.M.ESTIIMACIONES 2014'!G9</f>
        <v>787624.96590877755</v>
      </c>
      <c r="H6" s="647">
        <f>'F.F.M30%'!H9+'F.F.M.70%'!H9+'F.F.M.ESTIIMACIONES 2014'!H9</f>
        <v>831767.89271604584</v>
      </c>
      <c r="I6" s="647">
        <f>'F.F.M30%'!I9+'F.F.M.70%'!I9+'F.F.M.ESTIIMACIONES 2014'!I9</f>
        <v>921206.76246449165</v>
      </c>
      <c r="J6" s="647">
        <f>'F.F.M30%'!J9+'F.F.M.70%'!J9+'F.F.M.ESTIIMACIONES 2014'!J9</f>
        <v>829010.86889018689</v>
      </c>
      <c r="K6" s="647">
        <f>'F.F.M30%'!K9+'F.F.M.70%'!K9+'F.F.M.ESTIIMACIONES 2014'!K9</f>
        <v>888656.62251958461</v>
      </c>
      <c r="L6" s="647">
        <f>'F.F.M30%'!L9+'F.F.M.70%'!L9+'F.F.M.ESTIIMACIONES 2014'!L9</f>
        <v>889240.85091510753</v>
      </c>
      <c r="M6" s="647">
        <f>'F.F.M30%'!M9+'F.F.M.70%'!M9+'F.F.M.ESTIIMACIONES 2014'!M9</f>
        <v>808491.05767054285</v>
      </c>
      <c r="N6" s="647">
        <f>'F.F.M30%'!N9+'F.F.M.70%'!N9+'F.F.M.ESTIIMACIONES 2014'!N9</f>
        <v>885512.70985181478</v>
      </c>
      <c r="O6" s="648">
        <f t="shared" si="0"/>
        <v>10565303.213611986</v>
      </c>
    </row>
    <row r="7" spans="1:15" x14ac:dyDescent="0.2">
      <c r="A7" s="645" t="s">
        <v>283</v>
      </c>
      <c r="B7" s="665"/>
      <c r="C7" s="647">
        <f>'F.F.M30%'!C10+'F.F.M.70%'!C10+'F.F.M.ESTIIMACIONES 2014'!C10</f>
        <v>2262878.3616834888</v>
      </c>
      <c r="D7" s="647">
        <f>'F.F.M30%'!D10+'F.F.M.70%'!D10+'F.F.M.ESTIIMACIONES 2014'!D10</f>
        <v>5022521.034206613</v>
      </c>
      <c r="E7" s="647">
        <f>'F.F.M30%'!E10+'F.F.M.70%'!E10+'F.F.M.ESTIIMACIONES 2014'!E10</f>
        <v>1927137.3413213212</v>
      </c>
      <c r="F7" s="647">
        <f>'F.F.M30%'!F10+'F.F.M.70%'!F10+'F.F.M.ESTIIMACIONES 2014'!F10</f>
        <v>5133195.8184813485</v>
      </c>
      <c r="G7" s="647">
        <f>'F.F.M30%'!G10+'F.F.M.70%'!G10+'F.F.M.ESTIIMACIONES 2014'!G10</f>
        <v>2357073.6167981206</v>
      </c>
      <c r="H7" s="647">
        <f>'F.F.M30%'!H10+'F.F.M.70%'!H10+'F.F.M.ESTIIMACIONES 2014'!H10</f>
        <v>2043475.9409811795</v>
      </c>
      <c r="I7" s="647">
        <f>'F.F.M30%'!I10+'F.F.M.70%'!I10+'F.F.M.ESTIIMACIONES 2014'!I10</f>
        <v>1911161.1475110119</v>
      </c>
      <c r="J7" s="647">
        <f>'F.F.M30%'!J10+'F.F.M.70%'!J10+'F.F.M.ESTIIMACIONES 2014'!J10</f>
        <v>3138901.9781974079</v>
      </c>
      <c r="K7" s="647">
        <f>'F.F.M30%'!K10+'F.F.M.70%'!K10+'F.F.M.ESTIIMACIONES 2014'!K10</f>
        <v>2037811.6586063807</v>
      </c>
      <c r="L7" s="647">
        <f>'F.F.M30%'!L10+'F.F.M.70%'!L10+'F.F.M.ESTIIMACIONES 2014'!L10</f>
        <v>2140945.6719454397</v>
      </c>
      <c r="M7" s="647">
        <f>'F.F.M30%'!M10+'F.F.M.70%'!M10+'F.F.M.ESTIIMACIONES 2014'!M10</f>
        <v>2314562.7680252781</v>
      </c>
      <c r="N7" s="647">
        <f>'F.F.M30%'!N10+'F.F.M.70%'!N10+'F.F.M.ESTIIMACIONES 2014'!N10</f>
        <v>1727581.6100972972</v>
      </c>
      <c r="O7" s="648">
        <f t="shared" si="0"/>
        <v>32017246.947854884</v>
      </c>
    </row>
    <row r="8" spans="1:15" x14ac:dyDescent="0.2">
      <c r="A8" s="645" t="s">
        <v>150</v>
      </c>
      <c r="B8" s="665"/>
      <c r="C8" s="647">
        <f>'F.F.M30%'!C11+'F.F.M.70%'!C11+'F.F.M.ESTIIMACIONES 2014'!C11</f>
        <v>1886209.0921371896</v>
      </c>
      <c r="D8" s="647">
        <f>'F.F.M30%'!D11+'F.F.M.70%'!D11+'F.F.M.ESTIIMACIONES 2014'!D11</f>
        <v>2639364.1790303057</v>
      </c>
      <c r="E8" s="647">
        <f>'F.F.M30%'!E11+'F.F.M.70%'!E11+'F.F.M.ESTIIMACIONES 2014'!E11</f>
        <v>1786901.2669565938</v>
      </c>
      <c r="F8" s="647">
        <f>'F.F.M30%'!F11+'F.F.M.70%'!F11+'F.F.M.ESTIIMACIONES 2014'!F11</f>
        <v>2546519.4403191442</v>
      </c>
      <c r="G8" s="647">
        <f>'F.F.M30%'!G11+'F.F.M.70%'!G11+'F.F.M.ESTIIMACIONES 2014'!G11</f>
        <v>1774592.086693102</v>
      </c>
      <c r="H8" s="647">
        <f>'F.F.M30%'!H11+'F.F.M.70%'!H11+'F.F.M.ESTIIMACIONES 2014'!H11</f>
        <v>1808770.9834896633</v>
      </c>
      <c r="I8" s="647">
        <f>'F.F.M30%'!I11+'F.F.M.70%'!I11+'F.F.M.ESTIIMACIONES 2014'!I11</f>
        <v>1951703.4471927062</v>
      </c>
      <c r="J8" s="647">
        <f>'F.F.M30%'!J11+'F.F.M.70%'!J11+'F.F.M.ESTIIMACIONES 2014'!J11</f>
        <v>1964208.1036177608</v>
      </c>
      <c r="K8" s="647">
        <f>'F.F.M30%'!K11+'F.F.M.70%'!K11+'F.F.M.ESTIIMACIONES 2014'!K11</f>
        <v>1911181.8667211835</v>
      </c>
      <c r="L8" s="647">
        <f>'F.F.M30%'!L11+'F.F.M.70%'!L11+'F.F.M.ESTIIMACIONES 2014'!L11</f>
        <v>1927347.5354603229</v>
      </c>
      <c r="M8" s="647">
        <f>'F.F.M30%'!M11+'F.F.M.70%'!M11+'F.F.M.ESTIIMACIONES 2014'!M11</f>
        <v>1806233.1307166929</v>
      </c>
      <c r="N8" s="647">
        <f>'F.F.M30%'!N11+'F.F.M.70%'!N11+'F.F.M.ESTIIMACIONES 2014'!N11</f>
        <v>1860038.8160242348</v>
      </c>
      <c r="O8" s="648">
        <f t="shared" si="0"/>
        <v>23863069.948358901</v>
      </c>
    </row>
    <row r="9" spans="1:15" x14ac:dyDescent="0.2">
      <c r="A9" s="645" t="s">
        <v>284</v>
      </c>
      <c r="B9" s="665"/>
      <c r="C9" s="647">
        <f>'F.F.M30%'!C12+'F.F.M.70%'!C12+'F.F.M.ESTIIMACIONES 2014'!C12</f>
        <v>623276.99601600051</v>
      </c>
      <c r="D9" s="647">
        <f>'F.F.M30%'!D12+'F.F.M.70%'!D12+'F.F.M.ESTIIMACIONES 2014'!D12</f>
        <v>894528.02102448861</v>
      </c>
      <c r="E9" s="647">
        <f>'F.F.M30%'!E12+'F.F.M.70%'!E12+'F.F.M.ESTIIMACIONES 2014'!E12</f>
        <v>587850.20451275038</v>
      </c>
      <c r="F9" s="647">
        <f>'F.F.M30%'!F12+'F.F.M.70%'!F12+'F.F.M.ESTIIMACIONES 2014'!F12</f>
        <v>866525.93109165039</v>
      </c>
      <c r="G9" s="647">
        <f>'F.F.M30%'!G12+'F.F.M.70%'!G12+'F.F.M.ESTIIMACIONES 2014'!G12</f>
        <v>589144.6611548115</v>
      </c>
      <c r="H9" s="647">
        <f>'F.F.M30%'!H12+'F.F.M.70%'!H12+'F.F.M.ESTIIMACIONES 2014'!H12</f>
        <v>596163.18593210191</v>
      </c>
      <c r="I9" s="647">
        <f>'F.F.M30%'!I12+'F.F.M.70%'!I12+'F.F.M.ESTIIMACIONES 2014'!I12</f>
        <v>639730.7746214522</v>
      </c>
      <c r="J9" s="647">
        <f>'F.F.M30%'!J12+'F.F.M.70%'!J12+'F.F.M.ESTIIMACIONES 2014'!J12</f>
        <v>658485.06437984807</v>
      </c>
      <c r="K9" s="647">
        <f>'F.F.M30%'!K12+'F.F.M.70%'!K12+'F.F.M.ESTIIMACIONES 2014'!K12</f>
        <v>628454.06343914394</v>
      </c>
      <c r="L9" s="647">
        <f>'F.F.M30%'!L12+'F.F.M.70%'!L12+'F.F.M.ESTIIMACIONES 2014'!L12</f>
        <v>634805.50362038601</v>
      </c>
      <c r="M9" s="647">
        <f>'F.F.M30%'!M12+'F.F.M.70%'!M12+'F.F.M.ESTIIMACIONES 2014'!M12</f>
        <v>598629.84460358962</v>
      </c>
      <c r="N9" s="647">
        <f>'F.F.M30%'!N12+'F.F.M.70%'!N12+'F.F.M.ESTIIMACIONES 2014'!N12</f>
        <v>608553.67824262555</v>
      </c>
      <c r="O9" s="648">
        <f t="shared" si="0"/>
        <v>7926147.9286388485</v>
      </c>
    </row>
    <row r="10" spans="1:15" x14ac:dyDescent="0.2">
      <c r="A10" s="645" t="s">
        <v>152</v>
      </c>
      <c r="B10" s="665"/>
      <c r="C10" s="647">
        <f>'F.F.M30%'!C13+'F.F.M.70%'!C13+'F.F.M.ESTIIMACIONES 2014'!C13</f>
        <v>569569.02570096345</v>
      </c>
      <c r="D10" s="647">
        <f>'F.F.M30%'!D13+'F.F.M.70%'!D13+'F.F.M.ESTIIMACIONES 2014'!D13</f>
        <v>710215.39963639411</v>
      </c>
      <c r="E10" s="647">
        <f>'F.F.M30%'!E13+'F.F.M.70%'!E13+'F.F.M.ESTIIMACIONES 2014'!E13</f>
        <v>549708.61938220484</v>
      </c>
      <c r="F10" s="647">
        <f>'F.F.M30%'!F13+'F.F.M.70%'!F13+'F.F.M.ESTIIMACIONES 2014'!F13</f>
        <v>671797.25820047292</v>
      </c>
      <c r="G10" s="647">
        <f>'F.F.M30%'!G13+'F.F.M.70%'!G13+'F.F.M.ESTIIMACIONES 2014'!G13</f>
        <v>525199.85168557265</v>
      </c>
      <c r="H10" s="647">
        <f>'F.F.M30%'!H13+'F.F.M.70%'!H13+'F.F.M.ESTIIMACIONES 2014'!H13</f>
        <v>552099.86620017875</v>
      </c>
      <c r="I10" s="647">
        <f>'F.F.M30%'!I13+'F.F.M.70%'!I13+'F.F.M.ESTIIMACIONES 2014'!I13</f>
        <v>609463.98152759997</v>
      </c>
      <c r="J10" s="647">
        <f>'F.F.M30%'!J13+'F.F.M.70%'!J13+'F.F.M.ESTIIMACIONES 2014'!J13</f>
        <v>556539.12102170079</v>
      </c>
      <c r="K10" s="647">
        <f>'F.F.M30%'!K13+'F.F.M.70%'!K13+'F.F.M.ESTIIMACIONES 2014'!K13</f>
        <v>589033.5248392669</v>
      </c>
      <c r="L10" s="647">
        <f>'F.F.M30%'!L13+'F.F.M.70%'!L13+'F.F.M.ESTIIMACIONES 2014'!L13</f>
        <v>589999.77513753949</v>
      </c>
      <c r="M10" s="647">
        <f>'F.F.M30%'!M13+'F.F.M.70%'!M13+'F.F.M.ESTIIMACIONES 2014'!M13</f>
        <v>538516.68380125728</v>
      </c>
      <c r="N10" s="647">
        <f>'F.F.M30%'!N13+'F.F.M.70%'!N13+'F.F.M.ESTIIMACIONES 2014'!N13</f>
        <v>585226.05490568664</v>
      </c>
      <c r="O10" s="648">
        <f t="shared" si="0"/>
        <v>7047369.1620388376</v>
      </c>
    </row>
    <row r="11" spans="1:15" x14ac:dyDescent="0.2">
      <c r="A11" s="645" t="s">
        <v>153</v>
      </c>
      <c r="B11" s="665"/>
      <c r="C11" s="647">
        <f>'F.F.M30%'!C14+'F.F.M.70%'!C14+'F.F.M.ESTIIMACIONES 2014'!C14</f>
        <v>1212055.8839563432</v>
      </c>
      <c r="D11" s="647">
        <f>'F.F.M30%'!D14+'F.F.M.70%'!D14+'F.F.M.ESTIIMACIONES 2014'!D14</f>
        <v>1575909.6640128517</v>
      </c>
      <c r="E11" s="647">
        <f>'F.F.M30%'!E14+'F.F.M.70%'!E14+'F.F.M.ESTIIMACIONES 2014'!E14</f>
        <v>1162259.0245594704</v>
      </c>
      <c r="F11" s="647">
        <f>'F.F.M30%'!F14+'F.F.M.70%'!F14+'F.F.M.ESTIIMACIONES 2014'!F14</f>
        <v>1501878.2923139415</v>
      </c>
      <c r="G11" s="647">
        <f>'F.F.M30%'!G14+'F.F.M.70%'!G14+'F.F.M.ESTIIMACIONES 2014'!G14</f>
        <v>1125570.7036904944</v>
      </c>
      <c r="H11" s="647">
        <f>'F.F.M30%'!H14+'F.F.M.70%'!H14+'F.F.M.ESTIIMACIONES 2014'!H14</f>
        <v>1170481.4068066149</v>
      </c>
      <c r="I11" s="647">
        <f>'F.F.M30%'!I14+'F.F.M.70%'!I14+'F.F.M.ESTIIMACIONES 2014'!I14</f>
        <v>1281987.6517076169</v>
      </c>
      <c r="J11" s="647">
        <f>'F.F.M30%'!J14+'F.F.M.70%'!J14+'F.F.M.ESTIIMACIONES 2014'!J14</f>
        <v>1211541.6947863444</v>
      </c>
      <c r="K11" s="647">
        <f>'F.F.M30%'!K14+'F.F.M.70%'!K14+'F.F.M.ESTIIMACIONES 2014'!K14</f>
        <v>1244606.9012606763</v>
      </c>
      <c r="L11" s="647">
        <f>'F.F.M30%'!L14+'F.F.M.70%'!L14+'F.F.M.ESTIIMACIONES 2014'!L14</f>
        <v>1249575.6052812662</v>
      </c>
      <c r="M11" s="647">
        <f>'F.F.M30%'!M14+'F.F.M.70%'!M14+'F.F.M.ESTIIMACIONES 2014'!M14</f>
        <v>1151110.4431704911</v>
      </c>
      <c r="N11" s="647">
        <f>'F.F.M30%'!N14+'F.F.M.70%'!N14+'F.F.M.ESTIIMACIONES 2014'!N14</f>
        <v>1227848.62415139</v>
      </c>
      <c r="O11" s="648">
        <f t="shared" si="0"/>
        <v>15114825.895697501</v>
      </c>
    </row>
    <row r="12" spans="1:15" x14ac:dyDescent="0.2">
      <c r="A12" s="645" t="s">
        <v>154</v>
      </c>
      <c r="B12" s="665"/>
      <c r="C12" s="647">
        <f>'F.F.M30%'!C15+'F.F.M.70%'!C15+'F.F.M.ESTIIMACIONES 2014'!C15</f>
        <v>1042068.5026204209</v>
      </c>
      <c r="D12" s="647">
        <f>'F.F.M30%'!D15+'F.F.M.70%'!D15+'F.F.M.ESTIIMACIONES 2014'!D15</f>
        <v>1292151.6309835885</v>
      </c>
      <c r="E12" s="647">
        <f>'F.F.M30%'!E15+'F.F.M.70%'!E15+'F.F.M.ESTIIMACIONES 2014'!E15</f>
        <v>1006577.294598227</v>
      </c>
      <c r="F12" s="647">
        <f>'F.F.M30%'!F15+'F.F.M.70%'!F15+'F.F.M.ESTIIMACIONES 2014'!F15</f>
        <v>1220996.6502150344</v>
      </c>
      <c r="G12" s="647">
        <f>'F.F.M30%'!G15+'F.F.M.70%'!G15+'F.F.M.ESTIIMACIONES 2014'!G15</f>
        <v>960002.10401016683</v>
      </c>
      <c r="H12" s="647">
        <f>'F.F.M30%'!H15+'F.F.M.70%'!H15+'F.F.M.ESTIIMACIONES 2014'!H15</f>
        <v>1010600.8100018388</v>
      </c>
      <c r="I12" s="647">
        <f>'F.F.M30%'!I15+'F.F.M.70%'!I15+'F.F.M.ESTIIMACIONES 2014'!I15</f>
        <v>1116737.6393685222</v>
      </c>
      <c r="J12" s="647">
        <f>'F.F.M30%'!J15+'F.F.M.70%'!J15+'F.F.M.ESTIIMACIONES 2014'!J15</f>
        <v>1015177.3425223236</v>
      </c>
      <c r="K12" s="647">
        <f>'F.F.M30%'!K15+'F.F.M.70%'!K15+'F.F.M.ESTIIMACIONES 2014'!K15</f>
        <v>1078674.9847491006</v>
      </c>
      <c r="L12" s="647">
        <f>'F.F.M30%'!L15+'F.F.M.70%'!L15+'F.F.M.ESTIIMACIONES 2014'!L15</f>
        <v>1080116.1772906517</v>
      </c>
      <c r="M12" s="647">
        <f>'F.F.M30%'!M15+'F.F.M.70%'!M15+'F.F.M.ESTIIMACIONES 2014'!M15</f>
        <v>984680.10986852332</v>
      </c>
      <c r="N12" s="647">
        <f>'F.F.M30%'!N15+'F.F.M.70%'!N15+'F.F.M.ESTIIMACIONES 2014'!N15</f>
        <v>1072679.6862389022</v>
      </c>
      <c r="O12" s="648">
        <f t="shared" si="0"/>
        <v>12880462.9324673</v>
      </c>
    </row>
    <row r="13" spans="1:15" x14ac:dyDescent="0.2">
      <c r="A13" s="645" t="s">
        <v>155</v>
      </c>
      <c r="B13" s="665"/>
      <c r="C13" s="647">
        <f>'F.F.M30%'!C16+'F.F.M.70%'!C16+'F.F.M.ESTIIMACIONES 2014'!C16</f>
        <v>593719.74092214683</v>
      </c>
      <c r="D13" s="647">
        <f>'F.F.M30%'!D16+'F.F.M.70%'!D16+'F.F.M.ESTIIMACIONES 2014'!D16</f>
        <v>736878.73667745048</v>
      </c>
      <c r="E13" s="647">
        <f>'F.F.M30%'!E16+'F.F.M.70%'!E16+'F.F.M.ESTIIMACIONES 2014'!E16</f>
        <v>573419.94767715666</v>
      </c>
      <c r="F13" s="647">
        <f>'F.F.M30%'!F16+'F.F.M.70%'!F16+'F.F.M.ESTIIMACIONES 2014'!F16</f>
        <v>696418.7215540047</v>
      </c>
      <c r="G13" s="647">
        <f>'F.F.M30%'!G16+'F.F.M.70%'!G16+'F.F.M.ESTIIMACIONES 2014'!G16</f>
        <v>547045.12613156333</v>
      </c>
      <c r="H13" s="647">
        <f>'F.F.M30%'!H16+'F.F.M.70%'!H16+'F.F.M.ESTIIMACIONES 2014'!H16</f>
        <v>575745.06119186641</v>
      </c>
      <c r="I13" s="647">
        <f>'F.F.M30%'!I16+'F.F.M.70%'!I16+'F.F.M.ESTIIMACIONES 2014'!I16</f>
        <v>636106.35352296475</v>
      </c>
      <c r="J13" s="647">
        <f>'F.F.M30%'!J16+'F.F.M.70%'!J16+'F.F.M.ESTIIMACIONES 2014'!J16</f>
        <v>578682.53526987752</v>
      </c>
      <c r="K13" s="647">
        <f>'F.F.M30%'!K16+'F.F.M.70%'!K16+'F.F.M.ESTIIMACIONES 2014'!K16</f>
        <v>614483.74057395034</v>
      </c>
      <c r="L13" s="647">
        <f>'F.F.M30%'!L16+'F.F.M.70%'!L16+'F.F.M.ESTIIMACIONES 2014'!L16</f>
        <v>615335.26313871599</v>
      </c>
      <c r="M13" s="647">
        <f>'F.F.M30%'!M16+'F.F.M.70%'!M16+'F.F.M.ESTIIMACIONES 2014'!M16</f>
        <v>561076.23424221261</v>
      </c>
      <c r="N13" s="647">
        <f>'F.F.M30%'!N16+'F.F.M.70%'!N16+'F.F.M.ESTIIMACIONES 2014'!N16</f>
        <v>610977.55982563342</v>
      </c>
      <c r="O13" s="648">
        <f t="shared" si="0"/>
        <v>7339889.0207275441</v>
      </c>
    </row>
    <row r="14" spans="1:15" x14ac:dyDescent="0.2">
      <c r="A14" s="645" t="s">
        <v>156</v>
      </c>
      <c r="B14" s="665"/>
      <c r="C14" s="647">
        <f>'F.F.M30%'!C17+'F.F.M.70%'!C17+'F.F.M.ESTIIMACIONES 2014'!C17</f>
        <v>1486354.1566749134</v>
      </c>
      <c r="D14" s="647">
        <f>'F.F.M30%'!D17+'F.F.M.70%'!D17+'F.F.M.ESTIIMACIONES 2014'!D17</f>
        <v>2629533.944770704</v>
      </c>
      <c r="E14" s="647">
        <f>'F.F.M30%'!E17+'F.F.M.70%'!E17+'F.F.M.ESTIIMACIONES 2014'!E17</f>
        <v>1343951.2172382767</v>
      </c>
      <c r="F14" s="647">
        <f>'F.F.M30%'!F17+'F.F.M.70%'!F17+'F.F.M.ESTIIMACIONES 2014'!F17</f>
        <v>2622135.039337608</v>
      </c>
      <c r="G14" s="647">
        <f>'F.F.M30%'!G17+'F.F.M.70%'!G17+'F.F.M.ESTIIMACIONES 2014'!G17</f>
        <v>1465951.6978271587</v>
      </c>
      <c r="H14" s="647">
        <f>'F.F.M30%'!H17+'F.F.M.70%'!H17+'F.F.M.ESTIIMACIONES 2014'!H17</f>
        <v>1387868.6469434972</v>
      </c>
      <c r="I14" s="647">
        <f>'F.F.M30%'!I17+'F.F.M.70%'!I17+'F.F.M.ESTIIMACIONES 2014'!I17</f>
        <v>1410532.6476823508</v>
      </c>
      <c r="J14" s="647">
        <f>'F.F.M30%'!J17+'F.F.M.70%'!J17+'F.F.M.ESTIIMACIONES 2014'!J17</f>
        <v>1779542.6601941031</v>
      </c>
      <c r="K14" s="647">
        <f>'F.F.M30%'!K17+'F.F.M.70%'!K17+'F.F.M.ESTIIMACIONES 2014'!K17</f>
        <v>1430506.159046184</v>
      </c>
      <c r="L14" s="647">
        <f>'F.F.M30%'!L17+'F.F.M.70%'!L17+'F.F.M.ESTIIMACIONES 2014'!L17</f>
        <v>1468044.7693568519</v>
      </c>
      <c r="M14" s="647">
        <f>'F.F.M30%'!M17+'F.F.M.70%'!M17+'F.F.M.ESTIIMACIONES 2014'!M17</f>
        <v>1467053.6270734766</v>
      </c>
      <c r="N14" s="647">
        <f>'F.F.M30%'!N17+'F.F.M.70%'!N17+'F.F.M.ESTIIMACIONES 2014'!N17</f>
        <v>1316500.1206012345</v>
      </c>
      <c r="O14" s="648">
        <f t="shared" si="0"/>
        <v>19807974.686746359</v>
      </c>
    </row>
    <row r="15" spans="1:15" x14ac:dyDescent="0.2">
      <c r="A15" s="645" t="s">
        <v>157</v>
      </c>
      <c r="B15" s="665"/>
      <c r="C15" s="647">
        <f>'F.F.M30%'!C18+'F.F.M.70%'!C18+'F.F.M.ESTIIMACIONES 2014'!C18</f>
        <v>1233605.298491342</v>
      </c>
      <c r="D15" s="647">
        <f>'F.F.M30%'!D18+'F.F.M.70%'!D18+'F.F.M.ESTIIMACIONES 2014'!D18</f>
        <v>1527291.7175962271</v>
      </c>
      <c r="E15" s="647">
        <f>'F.F.M30%'!E18+'F.F.M.70%'!E18+'F.F.M.ESTIIMACIONES 2014'!E18</f>
        <v>1191866.4183078976</v>
      </c>
      <c r="F15" s="647">
        <f>'F.F.M30%'!F18+'F.F.M.70%'!F18+'F.F.M.ESTIIMACIONES 2014'!F18</f>
        <v>1442775.4186390992</v>
      </c>
      <c r="G15" s="647">
        <f>'F.F.M30%'!G18+'F.F.M.70%'!G18+'F.F.M.ESTIIMACIONES 2014'!G18</f>
        <v>1136164.3230868368</v>
      </c>
      <c r="H15" s="647">
        <f>'F.F.M30%'!H18+'F.F.M.70%'!H18+'F.F.M.ESTIIMACIONES 2014'!H18</f>
        <v>1196514.7598979371</v>
      </c>
      <c r="I15" s="647">
        <f>'F.F.M30%'!I18+'F.F.M.70%'!I18+'F.F.M.ESTIIMACIONES 2014'!I18</f>
        <v>1322546.7812793651</v>
      </c>
      <c r="J15" s="647">
        <f>'F.F.M30%'!J18+'F.F.M.70%'!J18+'F.F.M.ESTIIMACIONES 2014'!J18</f>
        <v>1200775.24222467</v>
      </c>
      <c r="K15" s="647">
        <f>'F.F.M30%'!K18+'F.F.M.70%'!K18+'F.F.M.ESTIIMACIONES 2014'!K18</f>
        <v>1277264.9032839225</v>
      </c>
      <c r="L15" s="647">
        <f>'F.F.M30%'!L18+'F.F.M.70%'!L18+'F.F.M.ESTIIMACIONES 2014'!L18</f>
        <v>1278864.3788150293</v>
      </c>
      <c r="M15" s="647">
        <f>'F.F.M30%'!M18+'F.F.M.70%'!M18+'F.F.M.ESTIIMACIONES 2014'!M18</f>
        <v>1165480.7072966783</v>
      </c>
      <c r="N15" s="647">
        <f>'F.F.M30%'!N18+'F.F.M.70%'!N18+'F.F.M.ESTIIMACIONES 2014'!N18</f>
        <v>1270484.4987229535</v>
      </c>
      <c r="O15" s="648">
        <f t="shared" si="0"/>
        <v>15243634.447641959</v>
      </c>
    </row>
    <row r="16" spans="1:15" x14ac:dyDescent="0.2">
      <c r="A16" s="645" t="s">
        <v>158</v>
      </c>
      <c r="B16" s="665"/>
      <c r="C16" s="647">
        <f>'F.F.M30%'!C19+'F.F.M.70%'!C19+'F.F.M.ESTIIMACIONES 2014'!C19</f>
        <v>1751998.3409348114</v>
      </c>
      <c r="D16" s="647">
        <f>'F.F.M30%'!D19+'F.F.M.70%'!D19+'F.F.M.ESTIIMACIONES 2014'!D19</f>
        <v>2195596.5962843942</v>
      </c>
      <c r="E16" s="647">
        <f>'F.F.M30%'!E19+'F.F.M.70%'!E19+'F.F.M.ESTIIMACIONES 2014'!E19</f>
        <v>1689627.5266130387</v>
      </c>
      <c r="F16" s="647">
        <f>'F.F.M30%'!F19+'F.F.M.70%'!F19+'F.F.M.ESTIIMACIONES 2014'!F19</f>
        <v>2078734.4451045322</v>
      </c>
      <c r="G16" s="647">
        <f>'F.F.M30%'!G19+'F.F.M.70%'!G19+'F.F.M.ESTIIMACIONES 2014'!G19</f>
        <v>1616866.4753290575</v>
      </c>
      <c r="H16" s="647">
        <f>'F.F.M30%'!H19+'F.F.M.70%'!H19+'F.F.M.ESTIIMACIONES 2014'!H19</f>
        <v>1697515.4973476743</v>
      </c>
      <c r="I16" s="647">
        <f>'F.F.M30%'!I19+'F.F.M.70%'!I19+'F.F.M.ESTIIMACIONES 2014'!I19</f>
        <v>1872172.5927818471</v>
      </c>
      <c r="J16" s="647">
        <f>'F.F.M30%'!J19+'F.F.M.70%'!J19+'F.F.M.ESTIIMACIONES 2014'!J19</f>
        <v>1716542.3445224576</v>
      </c>
      <c r="K16" s="647">
        <f>'F.F.M30%'!K19+'F.F.M.70%'!K19+'F.F.M.ESTIIMACIONES 2014'!K19</f>
        <v>1810364.1326039955</v>
      </c>
      <c r="L16" s="647">
        <f>'F.F.M30%'!L19+'F.F.M.70%'!L19+'F.F.M.ESTIIMACIONES 2014'!L19</f>
        <v>1813831.2092909934</v>
      </c>
      <c r="M16" s="647">
        <f>'F.F.M30%'!M19+'F.F.M.70%'!M19+'F.F.M.ESTIIMACIONES 2014'!M19</f>
        <v>1657353.5835757491</v>
      </c>
      <c r="N16" s="647">
        <f>'F.F.M30%'!N19+'F.F.M.70%'!N19+'F.F.M.ESTIIMACIONES 2014'!N19</f>
        <v>1797181.5432754112</v>
      </c>
      <c r="O16" s="648">
        <f t="shared" si="0"/>
        <v>21697784.287663963</v>
      </c>
    </row>
    <row r="17" spans="1:18" x14ac:dyDescent="0.2">
      <c r="A17" s="645" t="s">
        <v>285</v>
      </c>
      <c r="B17" s="665"/>
      <c r="C17" s="647">
        <f>'F.F.M30%'!C20+'F.F.M.70%'!C20+'F.F.M.ESTIIMACIONES 2014'!C20</f>
        <v>774227.05307697214</v>
      </c>
      <c r="D17" s="647">
        <f>'F.F.M30%'!D20+'F.F.M.70%'!D20+'F.F.M.ESTIIMACIONES 2014'!D20</f>
        <v>931583.30396873539</v>
      </c>
      <c r="E17" s="647">
        <f>'F.F.M30%'!E20+'F.F.M.70%'!E20+'F.F.M.ESTIIMACIONES 2014'!E20</f>
        <v>751177.97295645659</v>
      </c>
      <c r="F17" s="647">
        <f>'F.F.M30%'!F20+'F.F.M.70%'!F20+'F.F.M.ESTIIMACIONES 2014'!F20</f>
        <v>875313.65708423802</v>
      </c>
      <c r="G17" s="647">
        <f>'F.F.M30%'!G20+'F.F.M.70%'!G20+'F.F.M.ESTIIMACIONES 2014'!G20</f>
        <v>709757.93684076692</v>
      </c>
      <c r="H17" s="647">
        <f>'F.F.M30%'!H20+'F.F.M.70%'!H20+'F.F.M.ESTIIMACIONES 2014'!H20</f>
        <v>752786.33629468386</v>
      </c>
      <c r="I17" s="647">
        <f>'F.F.M30%'!I20+'F.F.M.70%'!I20+'F.F.M.ESTIIMACIONES 2014'!I20</f>
        <v>836299.17757020984</v>
      </c>
      <c r="J17" s="647">
        <f>'F.F.M30%'!J20+'F.F.M.70%'!J20+'F.F.M.ESTIIMACIONES 2014'!J20</f>
        <v>742255.0471216758</v>
      </c>
      <c r="K17" s="647">
        <f>'F.F.M30%'!K20+'F.F.M.70%'!K20+'F.F.M.ESTIIMACIONES 2014'!K20</f>
        <v>805333.42969419609</v>
      </c>
      <c r="L17" s="647">
        <f>'F.F.M30%'!L20+'F.F.M.70%'!L20+'F.F.M.ESTIIMACIONES 2014'!L20</f>
        <v>805120.70366391365</v>
      </c>
      <c r="M17" s="647">
        <f>'F.F.M30%'!M20+'F.F.M.70%'!M20+'F.F.M.ESTIIMACIONES 2014'!M20</f>
        <v>729326.36552793952</v>
      </c>
      <c r="N17" s="647">
        <f>'F.F.M30%'!N20+'F.F.M.70%'!N20+'F.F.M.ESTIIMACIONES 2014'!N20</f>
        <v>804693.60296373628</v>
      </c>
      <c r="O17" s="648">
        <f t="shared" si="0"/>
        <v>9517874.5867635235</v>
      </c>
    </row>
    <row r="18" spans="1:18" x14ac:dyDescent="0.2">
      <c r="A18" s="645" t="s">
        <v>286</v>
      </c>
      <c r="B18" s="665"/>
      <c r="C18" s="647">
        <f>'F.F.M30%'!C21+'F.F.M.70%'!C21+'F.F.M.ESTIIMACIONES 2014'!C21</f>
        <v>1050580.567120871</v>
      </c>
      <c r="D18" s="647">
        <f>'F.F.M30%'!D21+'F.F.M.70%'!D21+'F.F.M.ESTIIMACIONES 2014'!D21</f>
        <v>1318161.5331276534</v>
      </c>
      <c r="E18" s="647">
        <f>'F.F.M30%'!E21+'F.F.M.70%'!E21+'F.F.M.ESTIIMACIONES 2014'!E21</f>
        <v>1012995.8752118028</v>
      </c>
      <c r="F18" s="647">
        <f>'F.F.M30%'!F21+'F.F.M.70%'!F21+'F.F.M.ESTIIMACIONES 2014'!F21</f>
        <v>1248274.3555936981</v>
      </c>
      <c r="G18" s="647">
        <f>'F.F.M30%'!G21+'F.F.M.70%'!G21+'F.F.M.ESTIIMACIONES 2014'!G21</f>
        <v>969743.14823610324</v>
      </c>
      <c r="H18" s="647">
        <f>'F.F.M30%'!H21+'F.F.M.70%'!H21+'F.F.M.ESTIIMACIONES 2014'!H21</f>
        <v>1017802.5045741242</v>
      </c>
      <c r="I18" s="647">
        <f>'F.F.M30%'!I21+'F.F.M.70%'!I21+'F.F.M.ESTIIMACIONES 2014'!I21</f>
        <v>1122276.7362981394</v>
      </c>
      <c r="J18" s="647">
        <f>'F.F.M30%'!J21+'F.F.M.70%'!J21+'F.F.M.ESTIIMACIONES 2014'!J21</f>
        <v>1029984.9564565157</v>
      </c>
      <c r="K18" s="647">
        <f>'F.F.M30%'!K21+'F.F.M.70%'!K21+'F.F.M.ESTIIMACIONES 2014'!K21</f>
        <v>1085362.5398765518</v>
      </c>
      <c r="L18" s="647">
        <f>'F.F.M30%'!L21+'F.F.M.70%'!L21+'F.F.M.ESTIIMACIONES 2014'!L21</f>
        <v>1087512.782925383</v>
      </c>
      <c r="M18" s="647">
        <f>'F.F.M30%'!M21+'F.F.M.70%'!M21+'F.F.M.ESTIIMACIONES 2014'!M21</f>
        <v>993952.68158001674</v>
      </c>
      <c r="N18" s="647">
        <f>'F.F.M30%'!N21+'F.F.M.70%'!N21+'F.F.M.ESTIIMACIONES 2014'!N21</f>
        <v>1077245.9726068955</v>
      </c>
      <c r="O18" s="648">
        <f t="shared" si="0"/>
        <v>13013893.653607754</v>
      </c>
    </row>
    <row r="19" spans="1:18" x14ac:dyDescent="0.2">
      <c r="A19" s="645" t="s">
        <v>287</v>
      </c>
      <c r="B19" s="665"/>
      <c r="C19" s="647">
        <f>'F.F.M30%'!C22+'F.F.M.70%'!C22+'F.F.M.ESTIIMACIONES 2014'!C22</f>
        <v>4260059.3278480042</v>
      </c>
      <c r="D19" s="647">
        <f>'F.F.M30%'!D22+'F.F.M.70%'!D22+'F.F.M.ESTIIMACIONES 2014'!D22</f>
        <v>7401716.3039396778</v>
      </c>
      <c r="E19" s="647">
        <f>'F.F.M30%'!E22+'F.F.M.70%'!E22+'F.F.M.ESTIIMACIONES 2014'!E22</f>
        <v>3867650.2982263491</v>
      </c>
      <c r="F19" s="647">
        <f>'F.F.M30%'!F22+'F.F.M.70%'!F22+'F.F.M.ESTIIMACIONES 2014'!F22</f>
        <v>7364379.7769787759</v>
      </c>
      <c r="G19" s="647">
        <f>'F.F.M30%'!G22+'F.F.M.70%'!G22+'F.F.M.ESTIIMACIONES 2014'!G22</f>
        <v>4185014.2911513867</v>
      </c>
      <c r="H19" s="647">
        <f>'F.F.M30%'!H22+'F.F.M.70%'!H22+'F.F.M.ESTIIMACIONES 2014'!H22</f>
        <v>3986977.6597986072</v>
      </c>
      <c r="I19" s="647">
        <f>'F.F.M30%'!I22+'F.F.M.70%'!I22+'F.F.M.ESTIIMACIONES 2014'!I22</f>
        <v>4074002.538978803</v>
      </c>
      <c r="J19" s="647">
        <f>'F.F.M30%'!J22+'F.F.M.70%'!J22+'F.F.M.ESTIIMACIONES 2014'!J22</f>
        <v>5043533.8390784059</v>
      </c>
      <c r="K19" s="647">
        <f>'F.F.M30%'!K22+'F.F.M.70%'!K22+'F.F.M.ESTIIMACIONES 2014'!K22</f>
        <v>4118517.7257780284</v>
      </c>
      <c r="L19" s="647">
        <f>'F.F.M30%'!L22+'F.F.M.70%'!L22+'F.F.M.ESTIIMACIONES 2014'!L22</f>
        <v>4220024.764160255</v>
      </c>
      <c r="M19" s="647">
        <f>'F.F.M30%'!M22+'F.F.M.70%'!M22+'F.F.M.ESTIIMACIONES 2014'!M22</f>
        <v>4194017.9100351948</v>
      </c>
      <c r="N19" s="647">
        <f>'F.F.M30%'!N22+'F.F.M.70%'!N22+'F.F.M.ESTIIMACIONES 2014'!N22</f>
        <v>3809841.6732984548</v>
      </c>
      <c r="O19" s="648">
        <f t="shared" si="0"/>
        <v>56525736.109271936</v>
      </c>
    </row>
    <row r="20" spans="1:18" x14ac:dyDescent="0.2">
      <c r="A20" s="645" t="s">
        <v>162</v>
      </c>
      <c r="B20" s="665"/>
      <c r="C20" s="647">
        <f>'F.F.M30%'!C23+'F.F.M.70%'!C23+'F.F.M.ESTIIMACIONES 2014'!C23</f>
        <v>1322893.4163721921</v>
      </c>
      <c r="D20" s="647">
        <f>'F.F.M30%'!D23+'F.F.M.70%'!D23+'F.F.M.ESTIIMACIONES 2014'!D23</f>
        <v>1685659.6375693909</v>
      </c>
      <c r="E20" s="647">
        <f>'F.F.M30%'!E23+'F.F.M.70%'!E23+'F.F.M.ESTIIMACIONES 2014'!E23</f>
        <v>1272552.6458764221</v>
      </c>
      <c r="F20" s="647">
        <f>'F.F.M30%'!F23+'F.F.M.70%'!F23+'F.F.M.ESTIIMACIONES 2014'!F23</f>
        <v>1600747.5439263908</v>
      </c>
      <c r="G20" s="647">
        <f>'F.F.M30%'!G23+'F.F.M.70%'!G23+'F.F.M.ESTIIMACIONES 2014'!G23</f>
        <v>1224276.8223112903</v>
      </c>
      <c r="H20" s="647">
        <f>'F.F.M30%'!H23+'F.F.M.70%'!H23+'F.F.M.ESTIIMACIONES 2014'!H23</f>
        <v>1279858.9395453401</v>
      </c>
      <c r="I20" s="647">
        <f>'F.F.M30%'!I23+'F.F.M.70%'!I23+'F.F.M.ESTIIMACIONES 2014'!I23</f>
        <v>1407185.8451255092</v>
      </c>
      <c r="J20" s="647">
        <f>'F.F.M30%'!J23+'F.F.M.70%'!J23+'F.F.M.ESTIIMACIONES 2014'!J23</f>
        <v>1307847.24912193</v>
      </c>
      <c r="K20" s="647">
        <f>'F.F.M30%'!K23+'F.F.M.70%'!K23+'F.F.M.ESTIIMACIONES 2014'!K23</f>
        <v>1363142.2286409498</v>
      </c>
      <c r="L20" s="647">
        <f>'F.F.M30%'!L23+'F.F.M.70%'!L23+'F.F.M.ESTIIMACIONES 2014'!L23</f>
        <v>1367015.0741341389</v>
      </c>
      <c r="M20" s="647">
        <f>'F.F.M30%'!M23+'F.F.M.70%'!M23+'F.F.M.ESTIIMACIONES 2014'!M23</f>
        <v>1253641.7638193241</v>
      </c>
      <c r="N20" s="647">
        <f>'F.F.M30%'!N23+'F.F.M.70%'!N23+'F.F.M.ESTIIMACIONES 2014'!N23</f>
        <v>1349458.7160851932</v>
      </c>
      <c r="O20" s="648">
        <f t="shared" si="0"/>
        <v>16434279.882528072</v>
      </c>
    </row>
    <row r="21" spans="1:18" x14ac:dyDescent="0.2">
      <c r="A21" s="645" t="s">
        <v>163</v>
      </c>
      <c r="B21" s="665"/>
      <c r="C21" s="647">
        <f>'F.F.M30%'!C24+'F.F.M.70%'!C24+'F.F.M.ESTIIMACIONES 2014'!C24</f>
        <v>15408616.178501286</v>
      </c>
      <c r="D21" s="647">
        <f>'F.F.M30%'!D24+'F.F.M.70%'!D24+'F.F.M.ESTIIMACIONES 2014'!D24</f>
        <v>20823640.250991605</v>
      </c>
      <c r="E21" s="647">
        <f>'F.F.M30%'!E24+'F.F.M.70%'!E24+'F.F.M.ESTIIMACIONES 2014'!E24</f>
        <v>14683434.393633924</v>
      </c>
      <c r="F21" s="647">
        <f>'F.F.M30%'!F24+'F.F.M.70%'!F24+'F.F.M.ESTIIMACIONES 2014'!F24</f>
        <v>19976940.906023629</v>
      </c>
      <c r="G21" s="647">
        <f>'F.F.M30%'!G24+'F.F.M.70%'!G24+'F.F.M.ESTIIMACIONES 2014'!G24</f>
        <v>14406163.691257752</v>
      </c>
      <c r="H21" s="647">
        <f>'F.F.M30%'!H24+'F.F.M.70%'!H24+'F.F.M.ESTIIMACIONES 2014'!H24</f>
        <v>14826285.647847818</v>
      </c>
      <c r="I21" s="647">
        <f>'F.F.M30%'!I24+'F.F.M.70%'!I24+'F.F.M.ESTIIMACIONES 2014'!I24</f>
        <v>16114634.060572116</v>
      </c>
      <c r="J21" s="647">
        <f>'F.F.M30%'!J24+'F.F.M.70%'!J24+'F.F.M.ESTIIMACIONES 2014'!J24</f>
        <v>15734868.676304925</v>
      </c>
      <c r="K21" s="647">
        <f>'F.F.M30%'!K24+'F.F.M.70%'!K24+'F.F.M.ESTIIMACIONES 2014'!K24</f>
        <v>15713963.246318771</v>
      </c>
      <c r="L21" s="647">
        <f>'F.F.M30%'!L24+'F.F.M.70%'!L24+'F.F.M.ESTIIMACIONES 2014'!L24</f>
        <v>15812745.518634336</v>
      </c>
      <c r="M21" s="647">
        <f>'F.F.M30%'!M24+'F.F.M.70%'!M24+'F.F.M.ESTIIMACIONES 2014'!M24</f>
        <v>14696619.589505445</v>
      </c>
      <c r="N21" s="647">
        <f>'F.F.M30%'!N24+'F.F.M.70%'!N24+'F.F.M.ESTIIMACIONES 2014'!N24</f>
        <v>15395068.221027991</v>
      </c>
      <c r="O21" s="648">
        <f t="shared" si="0"/>
        <v>193592980.38061959</v>
      </c>
    </row>
    <row r="22" spans="1:18" x14ac:dyDescent="0.2">
      <c r="A22" s="645" t="s">
        <v>164</v>
      </c>
      <c r="B22" s="665"/>
      <c r="C22" s="647">
        <f>'F.F.M30%'!C25+'F.F.M.70%'!C25+'F.F.M.ESTIIMACIONES 2014'!C25</f>
        <v>1805296.9155313747</v>
      </c>
      <c r="D22" s="647">
        <f>'F.F.M30%'!D25+'F.F.M.70%'!D25+'F.F.M.ESTIIMACIONES 2014'!D25</f>
        <v>2964451.9999165125</v>
      </c>
      <c r="E22" s="647">
        <f>'F.F.M30%'!E25+'F.F.M.70%'!E25+'F.F.M.ESTIIMACIONES 2014'!E25</f>
        <v>1659099.3356331522</v>
      </c>
      <c r="F22" s="647">
        <f>'F.F.M30%'!F25+'F.F.M.70%'!F25+'F.F.M.ESTIIMACIONES 2014'!F25</f>
        <v>2928028.7384549193</v>
      </c>
      <c r="G22" s="647">
        <f>'F.F.M30%'!G25+'F.F.M.70%'!G25+'F.F.M.ESTIIMACIONES 2014'!G25</f>
        <v>1752333.3328319041</v>
      </c>
      <c r="H22" s="647">
        <f>'F.F.M30%'!H25+'F.F.M.70%'!H25+'F.F.M.ESTIIMACIONES 2014'!H25</f>
        <v>1701308.0785781681</v>
      </c>
      <c r="I22" s="647">
        <f>'F.F.M30%'!I25+'F.F.M.70%'!I25+'F.F.M.ESTIIMACIONES 2014'!I25</f>
        <v>1766370.2011303245</v>
      </c>
      <c r="J22" s="647">
        <f>'F.F.M30%'!J25+'F.F.M.70%'!J25+'F.F.M.ESTIIMACIONES 2014'!J25</f>
        <v>2064722.4352633166</v>
      </c>
      <c r="K22" s="647">
        <f>'F.F.M30%'!K25+'F.F.M.70%'!K25+'F.F.M.ESTIIMACIONES 2014'!K25</f>
        <v>1768974.8555404709</v>
      </c>
      <c r="L22" s="647">
        <f>'F.F.M30%'!L25+'F.F.M.70%'!L25+'F.F.M.ESTIIMACIONES 2014'!L25</f>
        <v>1804221.9994914399</v>
      </c>
      <c r="M22" s="647">
        <f>'F.F.M30%'!M25+'F.F.M.70%'!M25+'F.F.M.ESTIIMACIONES 2014'!M25</f>
        <v>1763614.2598820163</v>
      </c>
      <c r="N22" s="647">
        <f>'F.F.M30%'!N25+'F.F.M.70%'!N25+'F.F.M.ESTIIMACIONES 2014'!N25</f>
        <v>1661254.9896405698</v>
      </c>
      <c r="O22" s="648">
        <f t="shared" si="0"/>
        <v>23639677.141894169</v>
      </c>
      <c r="R22" s="649"/>
    </row>
    <row r="23" spans="1:18" ht="13.5" thickBot="1" x14ac:dyDescent="0.25">
      <c r="A23" s="645" t="s">
        <v>165</v>
      </c>
      <c r="B23" s="665"/>
      <c r="C23" s="647">
        <f>'F.F.M30%'!C26+'F.F.M.70%'!C26+'F.F.M.ESTIIMACIONES 2014'!C26</f>
        <v>1339790.3964033388</v>
      </c>
      <c r="D23" s="647">
        <f>'F.F.M30%'!D26+'F.F.M.70%'!D26+'F.F.M.ESTIIMACIONES 2014'!D26</f>
        <v>2006621.3800103529</v>
      </c>
      <c r="E23" s="647">
        <f>'F.F.M30%'!E26+'F.F.M.70%'!E26+'F.F.M.ESTIIMACIONES 2014'!E26</f>
        <v>1253863.5532469153</v>
      </c>
      <c r="F23" s="647">
        <f>'F.F.M30%'!F26+'F.F.M.70%'!F26+'F.F.M.ESTIIMACIONES 2014'!F26</f>
        <v>1956448.3984269882</v>
      </c>
      <c r="G23" s="647">
        <f>'F.F.M30%'!G26+'F.F.M.70%'!G26+'F.F.M.ESTIIMACIONES 2014'!G26</f>
        <v>1276712.5085899723</v>
      </c>
      <c r="H23" s="647">
        <f>'F.F.M30%'!H26+'F.F.M.70%'!H26+'F.F.M.ESTIIMACIONES 2014'!H26</f>
        <v>1275798.7229109844</v>
      </c>
      <c r="I23" s="647">
        <f>'F.F.M30%'!I26+'F.F.M.70%'!I26+'F.F.M.ESTIIMACIONES 2014'!I26</f>
        <v>1355743.2404728825</v>
      </c>
      <c r="J23" s="647">
        <f>'F.F.M30%'!J26+'F.F.M.70%'!J26+'F.F.M.ESTIIMACIONES 2014'!J26</f>
        <v>1450779.8323614306</v>
      </c>
      <c r="K23" s="647">
        <f>'F.F.M30%'!K26+'F.F.M.70%'!K26+'F.F.M.ESTIIMACIONES 2014'!K26</f>
        <v>1339411.3877049857</v>
      </c>
      <c r="L23" s="647">
        <f>'F.F.M30%'!L26+'F.F.M.70%'!L26+'F.F.M.ESTIIMACIONES 2014'!L26</f>
        <v>1356842.9978643158</v>
      </c>
      <c r="M23" s="647">
        <f>'F.F.M30%'!M26+'F.F.M.70%'!M26+'F.F.M.ESTIIMACIONES 2014'!M26</f>
        <v>1293470.6917722509</v>
      </c>
      <c r="N23" s="647">
        <f>'F.F.M30%'!N26+'F.F.M.70%'!N26+'F.F.M.ESTIIMACIONES 2014'!N26</f>
        <v>1285403.74329449</v>
      </c>
      <c r="O23" s="648">
        <f t="shared" si="0"/>
        <v>17190886.853058908</v>
      </c>
    </row>
    <row r="24" spans="1:18" ht="13.5" thickBot="1" x14ac:dyDescent="0.25">
      <c r="A24" s="650" t="s">
        <v>288</v>
      </c>
      <c r="B24" s="666">
        <f t="shared" ref="B24:N24" si="1">SUM(B4:B23)</f>
        <v>0</v>
      </c>
      <c r="C24" s="652">
        <f t="shared" si="1"/>
        <v>41779597.571550816</v>
      </c>
      <c r="D24" s="652">
        <f t="shared" si="1"/>
        <v>60331272.190641314</v>
      </c>
      <c r="E24" s="652">
        <f t="shared" si="1"/>
        <v>39361786.155558549</v>
      </c>
      <c r="F24" s="652">
        <f t="shared" si="1"/>
        <v>58498394.842482634</v>
      </c>
      <c r="G24" s="652">
        <f t="shared" si="1"/>
        <v>39536998.242690451</v>
      </c>
      <c r="H24" s="652">
        <f t="shared" si="1"/>
        <v>39936942.425573729</v>
      </c>
      <c r="I24" s="652">
        <f t="shared" si="1"/>
        <v>42796954.297176629</v>
      </c>
      <c r="J24" s="652">
        <f t="shared" si="1"/>
        <v>44295282.119465731</v>
      </c>
      <c r="K24" s="652">
        <f t="shared" si="1"/>
        <v>42075908.315683603</v>
      </c>
      <c r="L24" s="652">
        <f t="shared" si="1"/>
        <v>42518313.101426877</v>
      </c>
      <c r="M24" s="652">
        <f t="shared" si="1"/>
        <v>40156806.656400159</v>
      </c>
      <c r="N24" s="652">
        <f t="shared" si="1"/>
        <v>40692447.081349462</v>
      </c>
      <c r="O24" s="652">
        <f t="shared" si="0"/>
        <v>531980703</v>
      </c>
    </row>
    <row r="25" spans="1:18" x14ac:dyDescent="0.2">
      <c r="A25" s="654" t="s">
        <v>289</v>
      </c>
      <c r="M25" s="649"/>
      <c r="O25" s="649"/>
    </row>
    <row r="27" spans="1:18" x14ac:dyDescent="0.2">
      <c r="M27" s="649"/>
    </row>
    <row r="28" spans="1:18" x14ac:dyDescent="0.2">
      <c r="O28" s="649"/>
    </row>
  </sheetData>
  <mergeCells count="1">
    <mergeCell ref="A1:O1"/>
  </mergeCells>
  <printOptions horizontalCentered="1"/>
  <pageMargins left="0.78740157480314965" right="0.78740157480314965" top="0.98425196850393704" bottom="0.98425196850393704" header="0" footer="0"/>
  <pageSetup paperSize="5" scale="9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Q75"/>
  <sheetViews>
    <sheetView workbookViewId="0">
      <selection sqref="A1:O1"/>
    </sheetView>
  </sheetViews>
  <sheetFormatPr baseColWidth="10" defaultRowHeight="12.75" x14ac:dyDescent="0.2"/>
  <cols>
    <col min="1" max="1" width="16.140625" style="640" customWidth="1"/>
    <col min="2" max="2" width="9.28515625" style="640" hidden="1" customWidth="1"/>
    <col min="3" max="15" width="9.7109375" style="640" customWidth="1"/>
    <col min="16" max="16384" width="11.42578125" style="640"/>
  </cols>
  <sheetData>
    <row r="1" spans="1:17" x14ac:dyDescent="0.2">
      <c r="A1" s="1237" t="s">
        <v>427</v>
      </c>
      <c r="B1" s="1237"/>
      <c r="C1" s="1237"/>
      <c r="D1" s="1237"/>
      <c r="E1" s="1237"/>
      <c r="F1" s="1237"/>
      <c r="G1" s="1237"/>
      <c r="H1" s="1237"/>
      <c r="I1" s="1237"/>
      <c r="J1" s="1237"/>
      <c r="K1" s="1237"/>
      <c r="L1" s="1237"/>
      <c r="M1" s="1237"/>
      <c r="N1" s="1237"/>
      <c r="O1" s="1237"/>
    </row>
    <row r="2" spans="1:17" ht="13.5" thickBot="1" x14ac:dyDescent="0.25"/>
    <row r="3" spans="1:17" ht="23.25" thickBot="1" x14ac:dyDescent="0.25">
      <c r="A3" s="641" t="s">
        <v>346</v>
      </c>
      <c r="B3" s="642" t="s">
        <v>281</v>
      </c>
      <c r="C3" s="641" t="s">
        <v>1</v>
      </c>
      <c r="D3" s="643" t="s">
        <v>2</v>
      </c>
      <c r="E3" s="641" t="s">
        <v>3</v>
      </c>
      <c r="F3" s="643" t="s">
        <v>4</v>
      </c>
      <c r="G3" s="641" t="s">
        <v>5</v>
      </c>
      <c r="H3" s="641" t="s">
        <v>6</v>
      </c>
      <c r="I3" s="641" t="s">
        <v>7</v>
      </c>
      <c r="J3" s="643" t="s">
        <v>8</v>
      </c>
      <c r="K3" s="641" t="s">
        <v>9</v>
      </c>
      <c r="L3" s="643" t="s">
        <v>10</v>
      </c>
      <c r="M3" s="641" t="s">
        <v>11</v>
      </c>
      <c r="N3" s="641" t="s">
        <v>12</v>
      </c>
      <c r="O3" s="644" t="s">
        <v>168</v>
      </c>
    </row>
    <row r="4" spans="1:17" x14ac:dyDescent="0.2">
      <c r="A4" s="645" t="s">
        <v>282</v>
      </c>
      <c r="B4" s="656"/>
      <c r="C4" s="647">
        <f>'FOFIR  INCREMENTO'!C7+'FOFIR ESTIMACIONES'!C7</f>
        <v>161176.42939894181</v>
      </c>
      <c r="D4" s="647">
        <f>'FOFIR  INCREMENTO'!D7+'FOFIR ESTIMACIONES'!D7</f>
        <v>121291.10729177731</v>
      </c>
      <c r="E4" s="647">
        <f>'FOFIR  INCREMENTO'!E7+'FOFIR ESTIMACIONES'!E7</f>
        <v>121291.10729177731</v>
      </c>
      <c r="F4" s="647">
        <f>'FOFIR  INCREMENTO'!F7+'FOFIR ESTIMACIONES'!F7</f>
        <v>196303.67967769603</v>
      </c>
      <c r="G4" s="647">
        <f>'FOFIR  INCREMENTO'!G7+'FOFIR ESTIMACIONES'!G7</f>
        <v>121291.10729177731</v>
      </c>
      <c r="H4" s="647">
        <f>'FOFIR  INCREMENTO'!H7+'FOFIR ESTIMACIONES'!H7</f>
        <v>121291.10729177731</v>
      </c>
      <c r="I4" s="647">
        <f>'FOFIR  INCREMENTO'!I7+'FOFIR ESTIMACIONES'!I7</f>
        <v>163535.74426168116</v>
      </c>
      <c r="J4" s="647">
        <f>'FOFIR  INCREMENTO'!J7+'FOFIR ESTIMACIONES'!J7</f>
        <v>121291.10729177733</v>
      </c>
      <c r="K4" s="647">
        <f>'FOFIR  INCREMENTO'!K7+'FOFIR ESTIMACIONES'!K7</f>
        <v>121291.10729177733</v>
      </c>
      <c r="L4" s="647">
        <f>'FOFIR  INCREMENTO'!L7+'FOFIR ESTIMACIONES'!L7</f>
        <v>169076.44677692308</v>
      </c>
      <c r="M4" s="647">
        <f>'FOFIR  INCREMENTO'!M7+'FOFIR ESTIMACIONES'!M7</f>
        <v>121291.10729177736</v>
      </c>
      <c r="N4" s="647">
        <f>'FOFIR  INCREMENTO'!N7+'FOFIR ESTIMACIONES'!N7</f>
        <v>121291.10729177736</v>
      </c>
      <c r="O4" s="648">
        <f t="shared" ref="O4:O24" si="0">SUM(C4:N4)</f>
        <v>1660421.1584494608</v>
      </c>
      <c r="Q4" s="649"/>
    </row>
    <row r="5" spans="1:17" x14ac:dyDescent="0.2">
      <c r="A5" s="645" t="s">
        <v>147</v>
      </c>
      <c r="B5" s="657"/>
      <c r="C5" s="647">
        <f>'FOFIR  INCREMENTO'!C8+'FOFIR ESTIMACIONES'!C8</f>
        <v>64294.7012457733</v>
      </c>
      <c r="D5" s="647">
        <f>'FOFIR  INCREMENTO'!D8+'FOFIR ESTIMACIONES'!D8</f>
        <v>49268.69121153</v>
      </c>
      <c r="E5" s="647">
        <f>'FOFIR  INCREMENTO'!E8+'FOFIR ESTIMACIONES'!E8</f>
        <v>49268.69121153</v>
      </c>
      <c r="F5" s="647">
        <f>'FOFIR  INCREMENTO'!F8+'FOFIR ESTIMACIONES'!F8</f>
        <v>76933.943978835843</v>
      </c>
      <c r="G5" s="647">
        <f>'FOFIR  INCREMENTO'!G8+'FOFIR ESTIMACIONES'!G8</f>
        <v>49268.69121153</v>
      </c>
      <c r="H5" s="647">
        <f>'FOFIR  INCREMENTO'!H8+'FOFIR ESTIMACIONES'!H8</f>
        <v>49268.69121153</v>
      </c>
      <c r="I5" s="647">
        <f>'FOFIR  INCREMENTO'!I8+'FOFIR ESTIMACIONES'!I8</f>
        <v>64396.219900424367</v>
      </c>
      <c r="J5" s="647">
        <f>'FOFIR  INCREMENTO'!J8+'FOFIR ESTIMACIONES'!J8</f>
        <v>49268.691211530007</v>
      </c>
      <c r="K5" s="647">
        <f>'FOFIR  INCREMENTO'!K8+'FOFIR ESTIMACIONES'!K8</f>
        <v>49268.691211530007</v>
      </c>
      <c r="L5" s="647">
        <f>'FOFIR  INCREMENTO'!L8+'FOFIR ESTIMACIONES'!L8</f>
        <v>66868.413958013858</v>
      </c>
      <c r="M5" s="647">
        <f>'FOFIR  INCREMENTO'!M8+'FOFIR ESTIMACIONES'!M8</f>
        <v>49268.691211530022</v>
      </c>
      <c r="N5" s="647">
        <f>'FOFIR  INCREMENTO'!N8+'FOFIR ESTIMACIONES'!N8</f>
        <v>49268.691211530022</v>
      </c>
      <c r="O5" s="648">
        <f t="shared" si="0"/>
        <v>666642.80877528735</v>
      </c>
      <c r="Q5" s="649"/>
    </row>
    <row r="6" spans="1:17" x14ac:dyDescent="0.2">
      <c r="A6" s="645" t="s">
        <v>148</v>
      </c>
      <c r="B6" s="657"/>
      <c r="C6" s="647">
        <f>'FOFIR  INCREMENTO'!C9+'FOFIR ESTIMACIONES'!C9</f>
        <v>46758.116677777965</v>
      </c>
      <c r="D6" s="647">
        <f>'FOFIR  INCREMENTO'!D9+'FOFIR ESTIMACIONES'!D9</f>
        <v>35997.154099288935</v>
      </c>
      <c r="E6" s="647">
        <f>'FOFIR  INCREMENTO'!E9+'FOFIR ESTIMACIONES'!E9</f>
        <v>35997.154099288935</v>
      </c>
      <c r="F6" s="647">
        <f>'FOFIR  INCREMENTO'!F9+'FOFIR ESTIMACIONES'!F9</f>
        <v>55691.23505412411</v>
      </c>
      <c r="G6" s="647">
        <f>'FOFIR  INCREMENTO'!G9+'FOFIR ESTIMACIONES'!G9</f>
        <v>35997.154099288935</v>
      </c>
      <c r="H6" s="647">
        <f>'FOFIR  INCREMENTO'!H9+'FOFIR ESTIMACIONES'!H9</f>
        <v>35997.154099288935</v>
      </c>
      <c r="I6" s="647">
        <f>'FOFIR  INCREMENTO'!I9+'FOFIR ESTIMACIONES'!I9</f>
        <v>46673.761583961081</v>
      </c>
      <c r="J6" s="647">
        <f>'FOFIR  INCREMENTO'!J9+'FOFIR ESTIMACIONES'!J9</f>
        <v>35997.154099288942</v>
      </c>
      <c r="K6" s="647">
        <f>'FOFIR  INCREMENTO'!K9+'FOFIR ESTIMACIONES'!K9</f>
        <v>35997.154099288942</v>
      </c>
      <c r="L6" s="647">
        <f>'FOFIR  INCREMENTO'!L9+'FOFIR ESTIMACIONES'!L9</f>
        <v>48521.009073441441</v>
      </c>
      <c r="M6" s="647">
        <f>'FOFIR  INCREMENTO'!M9+'FOFIR ESTIMACIONES'!M9</f>
        <v>35997.15409928895</v>
      </c>
      <c r="N6" s="647">
        <f>'FOFIR  INCREMENTO'!N9+'FOFIR ESTIMACIONES'!N9</f>
        <v>35997.15409928895</v>
      </c>
      <c r="O6" s="648">
        <f t="shared" si="0"/>
        <v>485621.35518361605</v>
      </c>
      <c r="Q6" s="649"/>
    </row>
    <row r="7" spans="1:17" x14ac:dyDescent="0.2">
      <c r="A7" s="645" t="s">
        <v>283</v>
      </c>
      <c r="B7" s="657"/>
      <c r="C7" s="647">
        <f>'FOFIR  INCREMENTO'!C10+'FOFIR ESTIMACIONES'!C10</f>
        <v>1376728.4769927287</v>
      </c>
      <c r="D7" s="647">
        <f>'FOFIR  INCREMENTO'!D10+'FOFIR ESTIMACIONES'!D10</f>
        <v>454058.40872808022</v>
      </c>
      <c r="E7" s="647">
        <f>'FOFIR  INCREMENTO'!E10+'FOFIR ESTIMACIONES'!E10</f>
        <v>454058.40872808022</v>
      </c>
      <c r="F7" s="647">
        <f>'FOFIR  INCREMENTO'!F10+'FOFIR ESTIMACIONES'!F10</f>
        <v>2580293.7910242318</v>
      </c>
      <c r="G7" s="647">
        <f>'FOFIR  INCREMENTO'!G10+'FOFIR ESTIMACIONES'!G10</f>
        <v>454058.40872808022</v>
      </c>
      <c r="H7" s="647">
        <f>'FOFIR  INCREMENTO'!H10+'FOFIR ESTIMACIONES'!H10</f>
        <v>454058.40872808022</v>
      </c>
      <c r="I7" s="647">
        <f>'FOFIR  INCREMENTO'!I10+'FOFIR ESTIMACIONES'!I10</f>
        <v>1949278.63237993</v>
      </c>
      <c r="J7" s="647">
        <f>'FOFIR  INCREMENTO'!J10+'FOFIR ESTIMACIONES'!J10</f>
        <v>454058.4087280801</v>
      </c>
      <c r="K7" s="647">
        <f>'FOFIR  INCREMENTO'!K10+'FOFIR ESTIMACIONES'!K10</f>
        <v>454058.4087280801</v>
      </c>
      <c r="L7" s="647">
        <f>'FOFIR  INCREMENTO'!L10+'FOFIR ESTIMACIONES'!L10</f>
        <v>1824262.2276562329</v>
      </c>
      <c r="M7" s="647">
        <f>'FOFIR  INCREMENTO'!M10+'FOFIR ESTIMACIONES'!M10</f>
        <v>454058.40872808004</v>
      </c>
      <c r="N7" s="647">
        <f>'FOFIR  INCREMENTO'!N10+'FOFIR ESTIMACIONES'!N10</f>
        <v>454058.40872808004</v>
      </c>
      <c r="O7" s="648">
        <f t="shared" si="0"/>
        <v>11363030.397877762</v>
      </c>
      <c r="Q7" s="649"/>
    </row>
    <row r="8" spans="1:17" x14ac:dyDescent="0.2">
      <c r="A8" s="645" t="s">
        <v>150</v>
      </c>
      <c r="B8" s="657"/>
      <c r="C8" s="647">
        <f>'FOFIR  INCREMENTO'!C11+'FOFIR ESTIMACIONES'!C11</f>
        <v>326062.83937942242</v>
      </c>
      <c r="D8" s="647">
        <f>'FOFIR  INCREMENTO'!D11+'FOFIR ESTIMACIONES'!D11</f>
        <v>225746.49266207722</v>
      </c>
      <c r="E8" s="647">
        <f>'FOFIR  INCREMENTO'!E11+'FOFIR ESTIMACIONES'!E11</f>
        <v>225746.49266207722</v>
      </c>
      <c r="F8" s="647">
        <f>'FOFIR  INCREMENTO'!F11+'FOFIR ESTIMACIONES'!F11</f>
        <v>427597.56696752395</v>
      </c>
      <c r="G8" s="647">
        <f>'FOFIR  INCREMENTO'!G11+'FOFIR ESTIMACIONES'!G11</f>
        <v>225746.49266207722</v>
      </c>
      <c r="H8" s="647">
        <f>'FOFIR  INCREMENTO'!H11+'FOFIR ESTIMACIONES'!H11</f>
        <v>225746.49266207722</v>
      </c>
      <c r="I8" s="647">
        <f>'FOFIR  INCREMENTO'!I11+'FOFIR ESTIMACIONES'!I11</f>
        <v>349465.71512235678</v>
      </c>
      <c r="J8" s="647">
        <f>'FOFIR  INCREMENTO'!J11+'FOFIR ESTIMACIONES'!J11</f>
        <v>225746.49266207727</v>
      </c>
      <c r="K8" s="647">
        <f>'FOFIR  INCREMENTO'!K11+'FOFIR ESTIMACIONES'!K11</f>
        <v>225746.49266207727</v>
      </c>
      <c r="L8" s="647">
        <f>'FOFIR  INCREMENTO'!L11+'FOFIR ESTIMACIONES'!L11</f>
        <v>354862.26164195745</v>
      </c>
      <c r="M8" s="647">
        <f>'FOFIR  INCREMENTO'!M11+'FOFIR ESTIMACIONES'!M11</f>
        <v>225746.49266207733</v>
      </c>
      <c r="N8" s="647">
        <f>'FOFIR  INCREMENTO'!N11+'FOFIR ESTIMACIONES'!N11</f>
        <v>225746.49266207733</v>
      </c>
      <c r="O8" s="648">
        <f t="shared" si="0"/>
        <v>3263960.3244078788</v>
      </c>
      <c r="Q8" s="649"/>
    </row>
    <row r="9" spans="1:17" x14ac:dyDescent="0.2">
      <c r="A9" s="645" t="s">
        <v>284</v>
      </c>
      <c r="B9" s="657"/>
      <c r="C9" s="647">
        <f>'FOFIR  INCREMENTO'!C12+'FOFIR ESTIMACIONES'!C12</f>
        <v>136185.84978932425</v>
      </c>
      <c r="D9" s="647">
        <f>'FOFIR  INCREMENTO'!D12+'FOFIR ESTIMACIONES'!D12</f>
        <v>106023.31941818271</v>
      </c>
      <c r="E9" s="647">
        <f>'FOFIR  INCREMENTO'!E12+'FOFIR ESTIMACIONES'!E12</f>
        <v>106023.31941818271</v>
      </c>
      <c r="F9" s="647">
        <f>'FOFIR  INCREMENTO'!F12+'FOFIR ESTIMACIONES'!F12</f>
        <v>160373.05319482897</v>
      </c>
      <c r="G9" s="647">
        <f>'FOFIR  INCREMENTO'!G12+'FOFIR ESTIMACIONES'!G12</f>
        <v>106023.31941818271</v>
      </c>
      <c r="H9" s="647">
        <f>'FOFIR  INCREMENTO'!H12+'FOFIR ESTIMACIONES'!H12</f>
        <v>106023.31941818271</v>
      </c>
      <c r="I9" s="647">
        <f>'FOFIR  INCREMENTO'!I12+'FOFIR ESTIMACIONES'!I12</f>
        <v>134820.68545075643</v>
      </c>
      <c r="J9" s="647">
        <f>'FOFIR  INCREMENTO'!J12+'FOFIR ESTIMACIONES'!J12</f>
        <v>106023.31941818273</v>
      </c>
      <c r="K9" s="647">
        <f>'FOFIR  INCREMENTO'!K12+'FOFIR ESTIMACIONES'!K12</f>
        <v>106023.31941818273</v>
      </c>
      <c r="L9" s="647">
        <f>'FOFIR  INCREMENTO'!L12+'FOFIR ESTIMACIONES'!L12</f>
        <v>140550.1732048672</v>
      </c>
      <c r="M9" s="647">
        <f>'FOFIR  INCREMENTO'!M12+'FOFIR ESTIMACIONES'!M12</f>
        <v>106023.31941818276</v>
      </c>
      <c r="N9" s="647">
        <f>'FOFIR  INCREMENTO'!N12+'FOFIR ESTIMACIONES'!N12</f>
        <v>106023.31941818276</v>
      </c>
      <c r="O9" s="648">
        <f t="shared" si="0"/>
        <v>1420116.3169852388</v>
      </c>
      <c r="Q9" s="649"/>
    </row>
    <row r="10" spans="1:17" x14ac:dyDescent="0.2">
      <c r="A10" s="645" t="s">
        <v>152</v>
      </c>
      <c r="B10" s="657"/>
      <c r="C10" s="647">
        <f>'FOFIR  INCREMENTO'!C13+'FOFIR ESTIMACIONES'!C13</f>
        <v>46938.21438189163</v>
      </c>
      <c r="D10" s="647">
        <f>'FOFIR  INCREMENTO'!D13+'FOFIR ESTIMACIONES'!D13</f>
        <v>36547.133181987694</v>
      </c>
      <c r="E10" s="647">
        <f>'FOFIR  INCREMENTO'!E13+'FOFIR ESTIMACIONES'!E13</f>
        <v>36547.133181987694</v>
      </c>
      <c r="F10" s="647">
        <f>'FOFIR  INCREMENTO'!F13+'FOFIR ESTIMACIONES'!F13</f>
        <v>55267.156118898223</v>
      </c>
      <c r="G10" s="647">
        <f>'FOFIR  INCREMENTO'!G13+'FOFIR ESTIMACIONES'!G13</f>
        <v>36547.133181987694</v>
      </c>
      <c r="H10" s="647">
        <f>'FOFIR  INCREMENTO'!H13+'FOFIR ESTIMACIONES'!H13</f>
        <v>36547.133181987694</v>
      </c>
      <c r="I10" s="647">
        <f>'FOFIR  INCREMENTO'!I13+'FOFIR ESTIMACIONES'!I13</f>
        <v>46463.11311659529</v>
      </c>
      <c r="J10" s="647">
        <f>'FOFIR  INCREMENTO'!J13+'FOFIR ESTIMACIONES'!J13</f>
        <v>36547.133181987694</v>
      </c>
      <c r="K10" s="647">
        <f>'FOFIR  INCREMENTO'!K13+'FOFIR ESTIMACIONES'!K13</f>
        <v>36547.133181987694</v>
      </c>
      <c r="L10" s="647">
        <f>'FOFIR  INCREMENTO'!L13+'FOFIR ESTIMACIONES'!L13</f>
        <v>48439.284005871014</v>
      </c>
      <c r="M10" s="647">
        <f>'FOFIR  INCREMENTO'!M13+'FOFIR ESTIMACIONES'!M13</f>
        <v>36547.133181987709</v>
      </c>
      <c r="N10" s="647">
        <f>'FOFIR  INCREMENTO'!N13+'FOFIR ESTIMACIONES'!N13</f>
        <v>36547.133181987709</v>
      </c>
      <c r="O10" s="648">
        <f t="shared" si="0"/>
        <v>489484.83307915763</v>
      </c>
      <c r="Q10" s="649"/>
    </row>
    <row r="11" spans="1:17" x14ac:dyDescent="0.2">
      <c r="A11" s="645" t="s">
        <v>153</v>
      </c>
      <c r="B11" s="657"/>
      <c r="C11" s="647">
        <f>'FOFIR  INCREMENTO'!C14+'FOFIR ESTIMACIONES'!C14</f>
        <v>121228.60872903088</v>
      </c>
      <c r="D11" s="647">
        <f>'FOFIR  INCREMENTO'!D14+'FOFIR ESTIMACIONES'!D14</f>
        <v>90308.944385623632</v>
      </c>
      <c r="E11" s="647">
        <f>'FOFIR  INCREMENTO'!E14+'FOFIR ESTIMACIONES'!E14</f>
        <v>90308.944385623632</v>
      </c>
      <c r="F11" s="647">
        <f>'FOFIR  INCREMENTO'!F14+'FOFIR ESTIMACIONES'!F14</f>
        <v>149077.77518020046</v>
      </c>
      <c r="G11" s="647">
        <f>'FOFIR  INCREMENTO'!G14+'FOFIR ESTIMACIONES'!G14</f>
        <v>90308.944385623632</v>
      </c>
      <c r="H11" s="647">
        <f>'FOFIR  INCREMENTO'!H14+'FOFIR ESTIMACIONES'!H14</f>
        <v>90308.944385623632</v>
      </c>
      <c r="I11" s="647">
        <f>'FOFIR  INCREMENTO'!I14+'FOFIR ESTIMACIONES'!I14</f>
        <v>123876.38038124815</v>
      </c>
      <c r="J11" s="647">
        <f>'FOFIR  INCREMENTO'!J14+'FOFIR ESTIMACIONES'!J14</f>
        <v>90308.944385623647</v>
      </c>
      <c r="K11" s="647">
        <f>'FOFIR  INCREMENTO'!K14+'FOFIR ESTIMACIONES'!K14</f>
        <v>90308.944385623647</v>
      </c>
      <c r="L11" s="647">
        <f>'FOFIR  INCREMENTO'!L14+'FOFIR ESTIMACIONES'!L14</f>
        <v>127771.37471447981</v>
      </c>
      <c r="M11" s="647">
        <f>'FOFIR  INCREMENTO'!M14+'FOFIR ESTIMACIONES'!M14</f>
        <v>90308.944385623676</v>
      </c>
      <c r="N11" s="647">
        <f>'FOFIR  INCREMENTO'!N14+'FOFIR ESTIMACIONES'!N14</f>
        <v>90308.944385623676</v>
      </c>
      <c r="O11" s="648">
        <f t="shared" si="0"/>
        <v>1244425.6940899487</v>
      </c>
      <c r="Q11" s="649"/>
    </row>
    <row r="12" spans="1:17" x14ac:dyDescent="0.2">
      <c r="A12" s="645" t="s">
        <v>154</v>
      </c>
      <c r="B12" s="657"/>
      <c r="C12" s="647">
        <f>'FOFIR  INCREMENTO'!C15+'FOFIR ESTIMACIONES'!C15</f>
        <v>72723.275721532598</v>
      </c>
      <c r="D12" s="647">
        <f>'FOFIR  INCREMENTO'!D15+'FOFIR ESTIMACIONES'!D15</f>
        <v>55849.070876679354</v>
      </c>
      <c r="E12" s="647">
        <f>'FOFIR  INCREMENTO'!E15+'FOFIR ESTIMACIONES'!E15</f>
        <v>55849.070876679354</v>
      </c>
      <c r="F12" s="647">
        <f>'FOFIR  INCREMENTO'!F15+'FOFIR ESTIMACIONES'!F15</f>
        <v>86830.638404085199</v>
      </c>
      <c r="G12" s="647">
        <f>'FOFIR  INCREMENTO'!G15+'FOFIR ESTIMACIONES'!G15</f>
        <v>55849.070876679354</v>
      </c>
      <c r="H12" s="647">
        <f>'FOFIR  INCREMENTO'!H15+'FOFIR ESTIMACIONES'!H15</f>
        <v>55849.070876679354</v>
      </c>
      <c r="I12" s="647">
        <f>'FOFIR  INCREMENTO'!I15+'FOFIR ESTIMACIONES'!I15</f>
        <v>72722.676685872546</v>
      </c>
      <c r="J12" s="647">
        <f>'FOFIR  INCREMENTO'!J15+'FOFIR ESTIMACIONES'!J15</f>
        <v>55849.070876679361</v>
      </c>
      <c r="K12" s="647">
        <f>'FOFIR  INCREMENTO'!K15+'FOFIR ESTIMACIONES'!K15</f>
        <v>55849.070876679361</v>
      </c>
      <c r="L12" s="647">
        <f>'FOFIR  INCREMENTO'!L15+'FOFIR ESTIMACIONES'!L15</f>
        <v>75554.969690678496</v>
      </c>
      <c r="M12" s="647">
        <f>'FOFIR  INCREMENTO'!M15+'FOFIR ESTIMACIONES'!M15</f>
        <v>55849.070876679376</v>
      </c>
      <c r="N12" s="647">
        <f>'FOFIR  INCREMENTO'!N15+'FOFIR ESTIMACIONES'!N15</f>
        <v>55849.070876679376</v>
      </c>
      <c r="O12" s="648">
        <f t="shared" si="0"/>
        <v>754624.12751560379</v>
      </c>
      <c r="Q12" s="649"/>
    </row>
    <row r="13" spans="1:17" x14ac:dyDescent="0.2">
      <c r="A13" s="645" t="s">
        <v>155</v>
      </c>
      <c r="B13" s="657"/>
      <c r="C13" s="647">
        <f>'FOFIR  INCREMENTO'!C16+'FOFIR ESTIMACIONES'!C16</f>
        <v>53842.11605741697</v>
      </c>
      <c r="D13" s="647">
        <f>'FOFIR  INCREMENTO'!D16+'FOFIR ESTIMACIONES'!D16</f>
        <v>41837.693833293815</v>
      </c>
      <c r="E13" s="647">
        <f>'FOFIR  INCREMENTO'!E16+'FOFIR ESTIMACIONES'!E16</f>
        <v>41837.693833293815</v>
      </c>
      <c r="F13" s="647">
        <f>'FOFIR  INCREMENTO'!F16+'FOFIR ESTIMACIONES'!F16</f>
        <v>63528.034334826982</v>
      </c>
      <c r="G13" s="647">
        <f>'FOFIR  INCREMENTO'!G16+'FOFIR ESTIMACIONES'!G16</f>
        <v>41837.693833293815</v>
      </c>
      <c r="H13" s="647">
        <f>'FOFIR  INCREMENTO'!H16+'FOFIR ESTIMACIONES'!H16</f>
        <v>41837.693833293815</v>
      </c>
      <c r="I13" s="647">
        <f>'FOFIR  INCREMENTO'!I16+'FOFIR ESTIMACIONES'!I16</f>
        <v>53377.785606193451</v>
      </c>
      <c r="J13" s="647">
        <f>'FOFIR  INCREMENTO'!J16+'FOFIR ESTIMACIONES'!J16</f>
        <v>41837.693833293823</v>
      </c>
      <c r="K13" s="647">
        <f>'FOFIR  INCREMENTO'!K16+'FOFIR ESTIMACIONES'!K16</f>
        <v>41837.693833293823</v>
      </c>
      <c r="L13" s="647">
        <f>'FOFIR  INCREMENTO'!L16+'FOFIR ESTIMACIONES'!L16</f>
        <v>55619.458866328459</v>
      </c>
      <c r="M13" s="647">
        <f>'FOFIR  INCREMENTO'!M16+'FOFIR ESTIMACIONES'!M16</f>
        <v>41837.693833293837</v>
      </c>
      <c r="N13" s="647">
        <f>'FOFIR  INCREMENTO'!N16+'FOFIR ESTIMACIONES'!N16</f>
        <v>41837.693833293837</v>
      </c>
      <c r="O13" s="648">
        <f t="shared" si="0"/>
        <v>561068.94553111645</v>
      </c>
      <c r="Q13" s="649"/>
    </row>
    <row r="14" spans="1:17" x14ac:dyDescent="0.2">
      <c r="A14" s="645" t="s">
        <v>156</v>
      </c>
      <c r="B14" s="657"/>
      <c r="C14" s="647">
        <f>'FOFIR  INCREMENTO'!C17+'FOFIR ESTIMACIONES'!C17</f>
        <v>144701.70443061736</v>
      </c>
      <c r="D14" s="647">
        <f>'FOFIR  INCREMENTO'!D17+'FOFIR ESTIMACIONES'!D17</f>
        <v>111837.00667924817</v>
      </c>
      <c r="E14" s="647">
        <f>'FOFIR  INCREMENTO'!E17+'FOFIR ESTIMACIONES'!E17</f>
        <v>111837.00667924817</v>
      </c>
      <c r="F14" s="647">
        <f>'FOFIR  INCREMENTO'!F17+'FOFIR ESTIMACIONES'!F17</f>
        <v>171668.30135934017</v>
      </c>
      <c r="G14" s="647">
        <f>'FOFIR  INCREMENTO'!G17+'FOFIR ESTIMACIONES'!G17</f>
        <v>111837.00667924817</v>
      </c>
      <c r="H14" s="647">
        <f>'FOFIR  INCREMENTO'!H17+'FOFIR ESTIMACIONES'!H17</f>
        <v>111837.00667924817</v>
      </c>
      <c r="I14" s="647">
        <f>'FOFIR  INCREMENTO'!I17+'FOFIR ESTIMACIONES'!I17</f>
        <v>144025.7640873029</v>
      </c>
      <c r="J14" s="647">
        <f>'FOFIR  INCREMENTO'!J17+'FOFIR ESTIMACIONES'!J17</f>
        <v>111837.00667924818</v>
      </c>
      <c r="K14" s="647">
        <f>'FOFIR  INCREMENTO'!K17+'FOFIR ESTIMACIONES'!K17</f>
        <v>111837.00667924818</v>
      </c>
      <c r="L14" s="647">
        <f>'FOFIR  INCREMENTO'!L17+'FOFIR ESTIMACIONES'!L17</f>
        <v>149871.8573806879</v>
      </c>
      <c r="M14" s="647">
        <f>'FOFIR  INCREMENTO'!M17+'FOFIR ESTIMACIONES'!M17</f>
        <v>111837.00667924821</v>
      </c>
      <c r="N14" s="647">
        <f>'FOFIR  INCREMENTO'!N17+'FOFIR ESTIMACIONES'!N17</f>
        <v>111837.00667924821</v>
      </c>
      <c r="O14" s="648">
        <f t="shared" si="0"/>
        <v>1504963.680691934</v>
      </c>
      <c r="Q14" s="649"/>
    </row>
    <row r="15" spans="1:17" x14ac:dyDescent="0.2">
      <c r="A15" s="645" t="s">
        <v>157</v>
      </c>
      <c r="B15" s="657"/>
      <c r="C15" s="647">
        <f>'FOFIR  INCREMENTO'!C18+'FOFIR ESTIMACIONES'!C18</f>
        <v>94841.388734801454</v>
      </c>
      <c r="D15" s="647">
        <f>'FOFIR  INCREMENTO'!D18+'FOFIR ESTIMACIONES'!D18</f>
        <v>72991.289496845115</v>
      </c>
      <c r="E15" s="647">
        <f>'FOFIR  INCREMENTO'!E18+'FOFIR ESTIMACIONES'!E18</f>
        <v>72991.289496845115</v>
      </c>
      <c r="F15" s="647">
        <f>'FOFIR  INCREMENTO'!F18+'FOFIR ESTIMACIONES'!F18</f>
        <v>112996.81580925404</v>
      </c>
      <c r="G15" s="647">
        <f>'FOFIR  INCREMENTO'!G18+'FOFIR ESTIMACIONES'!G18</f>
        <v>72991.289496845115</v>
      </c>
      <c r="H15" s="647">
        <f>'FOFIR  INCREMENTO'!H18+'FOFIR ESTIMACIONES'!H18</f>
        <v>72991.289496845115</v>
      </c>
      <c r="I15" s="647">
        <f>'FOFIR  INCREMENTO'!I18+'FOFIR ESTIMACIONES'!I18</f>
        <v>94692.309950013208</v>
      </c>
      <c r="J15" s="647">
        <f>'FOFIR  INCREMENTO'!J18+'FOFIR ESTIMACIONES'!J18</f>
        <v>72991.289496845129</v>
      </c>
      <c r="K15" s="647">
        <f>'FOFIR  INCREMENTO'!K18+'FOFIR ESTIMACIONES'!K18</f>
        <v>72991.289496845129</v>
      </c>
      <c r="L15" s="647">
        <f>'FOFIR  INCREMENTO'!L18+'FOFIR ESTIMACIONES'!L18</f>
        <v>98432.286405064966</v>
      </c>
      <c r="M15" s="647">
        <f>'FOFIR  INCREMENTO'!M18+'FOFIR ESTIMACIONES'!M18</f>
        <v>72991.289496845144</v>
      </c>
      <c r="N15" s="647">
        <f>'FOFIR  INCREMENTO'!N18+'FOFIR ESTIMACIONES'!N18</f>
        <v>72991.289496845144</v>
      </c>
      <c r="O15" s="648">
        <f t="shared" si="0"/>
        <v>984893.11687389447</v>
      </c>
      <c r="Q15" s="649"/>
    </row>
    <row r="16" spans="1:17" x14ac:dyDescent="0.2">
      <c r="A16" s="645" t="s">
        <v>158</v>
      </c>
      <c r="B16" s="657"/>
      <c r="C16" s="647">
        <f>'FOFIR  INCREMENTO'!C19+'FOFIR ESTIMACIONES'!C19</f>
        <v>170660.5879688042</v>
      </c>
      <c r="D16" s="647">
        <f>'FOFIR  INCREMENTO'!D19+'FOFIR ESTIMACIONES'!D19</f>
        <v>130646.66974601368</v>
      </c>
      <c r="E16" s="647">
        <f>'FOFIR  INCREMENTO'!E19+'FOFIR ESTIMACIONES'!E19</f>
        <v>130646.66974601368</v>
      </c>
      <c r="F16" s="647">
        <f>'FOFIR  INCREMENTO'!F19+'FOFIR ESTIMACIONES'!F19</f>
        <v>204410.81743809243</v>
      </c>
      <c r="G16" s="647">
        <f>'FOFIR  INCREMENTO'!G19+'FOFIR ESTIMACIONES'!G19</f>
        <v>130646.66974601368</v>
      </c>
      <c r="H16" s="647">
        <f>'FOFIR  INCREMENTO'!H19+'FOFIR ESTIMACIONES'!H19</f>
        <v>130646.66974601368</v>
      </c>
      <c r="I16" s="647">
        <f>'FOFIR  INCREMENTO'!I19+'FOFIR ESTIMACIONES'!I19</f>
        <v>171053.10495714421</v>
      </c>
      <c r="J16" s="647">
        <f>'FOFIR  INCREMENTO'!J19+'FOFIR ESTIMACIONES'!J19</f>
        <v>130646.66974601369</v>
      </c>
      <c r="K16" s="647">
        <f>'FOFIR  INCREMENTO'!K19+'FOFIR ESTIMACIONES'!K19</f>
        <v>130646.66974601369</v>
      </c>
      <c r="L16" s="647">
        <f>'FOFIR  INCREMENTO'!L19+'FOFIR ESTIMACIONES'!L19</f>
        <v>177576.78028541437</v>
      </c>
      <c r="M16" s="647">
        <f>'FOFIR  INCREMENTO'!M19+'FOFIR ESTIMACIONES'!M19</f>
        <v>130646.66974601372</v>
      </c>
      <c r="N16" s="647">
        <f>'FOFIR  INCREMENTO'!N19+'FOFIR ESTIMACIONES'!N19</f>
        <v>130646.66974601372</v>
      </c>
      <c r="O16" s="648">
        <f t="shared" si="0"/>
        <v>1768874.6486175647</v>
      </c>
      <c r="Q16" s="649"/>
    </row>
    <row r="17" spans="1:17" x14ac:dyDescent="0.2">
      <c r="A17" s="645" t="s">
        <v>285</v>
      </c>
      <c r="B17" s="657"/>
      <c r="C17" s="647">
        <f>'FOFIR  INCREMENTO'!C20+'FOFIR ESTIMACIONES'!C20</f>
        <v>31949.398410887316</v>
      </c>
      <c r="D17" s="647">
        <f>'FOFIR  INCREMENTO'!D20+'FOFIR ESTIMACIONES'!D20</f>
        <v>24732.224535921789</v>
      </c>
      <c r="E17" s="647">
        <f>'FOFIR  INCREMENTO'!E20+'FOFIR ESTIMACIONES'!E20</f>
        <v>24732.224535921789</v>
      </c>
      <c r="F17" s="647">
        <f>'FOFIR  INCREMENTO'!F20+'FOFIR ESTIMACIONES'!F20</f>
        <v>37842.653081240074</v>
      </c>
      <c r="G17" s="647">
        <f>'FOFIR  INCREMENTO'!G20+'FOFIR ESTIMACIONES'!G20</f>
        <v>24732.224535921789</v>
      </c>
      <c r="H17" s="647">
        <f>'FOFIR  INCREMENTO'!H20+'FOFIR ESTIMACIONES'!H20</f>
        <v>24732.224535921789</v>
      </c>
      <c r="I17" s="647">
        <f>'FOFIR  INCREMENTO'!I20+'FOFIR ESTIMACIONES'!I20</f>
        <v>31762.962164094686</v>
      </c>
      <c r="J17" s="647">
        <f>'FOFIR  INCREMENTO'!J20+'FOFIR ESTIMACIONES'!J20</f>
        <v>24732.224535921792</v>
      </c>
      <c r="K17" s="647">
        <f>'FOFIR  INCREMENTO'!K20+'FOFIR ESTIMACIONES'!K20</f>
        <v>24732.224535921792</v>
      </c>
      <c r="L17" s="647">
        <f>'FOFIR  INCREMENTO'!L20+'FOFIR ESTIMACIONES'!L20</f>
        <v>33065.353383759146</v>
      </c>
      <c r="M17" s="647">
        <f>'FOFIR  INCREMENTO'!M20+'FOFIR ESTIMACIONES'!M20</f>
        <v>24732.2245359218</v>
      </c>
      <c r="N17" s="647">
        <f>'FOFIR  INCREMENTO'!N20+'FOFIR ESTIMACIONES'!N20</f>
        <v>24732.2245359218</v>
      </c>
      <c r="O17" s="648">
        <f t="shared" si="0"/>
        <v>332478.16332735564</v>
      </c>
      <c r="Q17" s="649"/>
    </row>
    <row r="18" spans="1:17" x14ac:dyDescent="0.2">
      <c r="A18" s="645" t="s">
        <v>286</v>
      </c>
      <c r="B18" s="657"/>
      <c r="C18" s="647">
        <f>'FOFIR  INCREMENTO'!C21+'FOFIR ESTIMACIONES'!C21</f>
        <v>97813.275025114126</v>
      </c>
      <c r="D18" s="647">
        <f>'FOFIR  INCREMENTO'!D21+'FOFIR ESTIMACIONES'!D21</f>
        <v>75297.99063025236</v>
      </c>
      <c r="E18" s="647">
        <f>'FOFIR  INCREMENTO'!E21+'FOFIR ESTIMACIONES'!E21</f>
        <v>75297.99063025236</v>
      </c>
      <c r="F18" s="647">
        <f>'FOFIR  INCREMENTO'!F21+'FOFIR ESTIMACIONES'!F21</f>
        <v>116507.34274308107</v>
      </c>
      <c r="G18" s="647">
        <f>'FOFIR  INCREMENTO'!G21+'FOFIR ESTIMACIONES'!G21</f>
        <v>75297.99063025236</v>
      </c>
      <c r="H18" s="647">
        <f>'FOFIR  INCREMENTO'!H21+'FOFIR ESTIMACIONES'!H21</f>
        <v>75297.99063025236</v>
      </c>
      <c r="I18" s="647">
        <f>'FOFIR  INCREMENTO'!I21+'FOFIR ESTIMACIONES'!I21</f>
        <v>97641.020809752081</v>
      </c>
      <c r="J18" s="647">
        <f>'FOFIR  INCREMENTO'!J21+'FOFIR ESTIMACIONES'!J21</f>
        <v>75297.990630252374</v>
      </c>
      <c r="K18" s="647">
        <f>'FOFIR  INCREMENTO'!K21+'FOFIR ESTIMACIONES'!K21</f>
        <v>75297.990630252374</v>
      </c>
      <c r="L18" s="647">
        <f>'FOFIR  INCREMENTO'!L21+'FOFIR ESTIMACIONES'!L21</f>
        <v>101503.96376663049</v>
      </c>
      <c r="M18" s="647">
        <f>'FOFIR  INCREMENTO'!M21+'FOFIR ESTIMACIONES'!M21</f>
        <v>75297.990630252389</v>
      </c>
      <c r="N18" s="647">
        <f>'FOFIR  INCREMENTO'!N21+'FOFIR ESTIMACIONES'!N21</f>
        <v>75297.990630252389</v>
      </c>
      <c r="O18" s="648">
        <f t="shared" si="0"/>
        <v>1015849.5273865968</v>
      </c>
      <c r="Q18" s="649"/>
    </row>
    <row r="19" spans="1:17" x14ac:dyDescent="0.2">
      <c r="A19" s="645" t="s">
        <v>287</v>
      </c>
      <c r="B19" s="657"/>
      <c r="C19" s="647">
        <f>'FOFIR  INCREMENTO'!C22+'FOFIR ESTIMACIONES'!C22</f>
        <v>403024.56694262597</v>
      </c>
      <c r="D19" s="647">
        <f>'FOFIR  INCREMENTO'!D22+'FOFIR ESTIMACIONES'!D22</f>
        <v>296863.84433497285</v>
      </c>
      <c r="E19" s="647">
        <f>'FOFIR  INCREMENTO'!E22+'FOFIR ESTIMACIONES'!E22</f>
        <v>296863.84433497285</v>
      </c>
      <c r="F19" s="647">
        <f>'FOFIR  INCREMENTO'!F22+'FOFIR ESTIMACIONES'!F22</f>
        <v>500838.35836116457</v>
      </c>
      <c r="G19" s="647">
        <f>'FOFIR  INCREMENTO'!G22+'FOFIR ESTIMACIONES'!G22</f>
        <v>296863.84433497285</v>
      </c>
      <c r="H19" s="647">
        <f>'FOFIR  INCREMENTO'!H22+'FOFIR ESTIMACIONES'!H22</f>
        <v>296863.84433497285</v>
      </c>
      <c r="I19" s="647">
        <f>'FOFIR  INCREMENTO'!I22+'FOFIR ESTIMACIONES'!I22</f>
        <v>415024.15804010938</v>
      </c>
      <c r="J19" s="647">
        <f>'FOFIR  INCREMENTO'!J22+'FOFIR ESTIMACIONES'!J22</f>
        <v>296863.84433497285</v>
      </c>
      <c r="K19" s="647">
        <f>'FOFIR  INCREMENTO'!K22+'FOFIR ESTIMACIONES'!K22</f>
        <v>296863.84433497285</v>
      </c>
      <c r="L19" s="647">
        <f>'FOFIR  INCREMENTO'!L22+'FOFIR ESTIMACIONES'!L22</f>
        <v>426975.6067914493</v>
      </c>
      <c r="M19" s="647">
        <f>'FOFIR  INCREMENTO'!M22+'FOFIR ESTIMACIONES'!M22</f>
        <v>296863.84433497296</v>
      </c>
      <c r="N19" s="647">
        <f>'FOFIR  INCREMENTO'!N22+'FOFIR ESTIMACIONES'!N22</f>
        <v>296863.84433497296</v>
      </c>
      <c r="O19" s="648">
        <f t="shared" si="0"/>
        <v>4120773.4448151328</v>
      </c>
      <c r="Q19" s="649"/>
    </row>
    <row r="20" spans="1:17" x14ac:dyDescent="0.2">
      <c r="A20" s="645" t="s">
        <v>162</v>
      </c>
      <c r="B20" s="657"/>
      <c r="C20" s="647">
        <f>'FOFIR  INCREMENTO'!C23+'FOFIR ESTIMACIONES'!C23</f>
        <v>169087.94146727328</v>
      </c>
      <c r="D20" s="647">
        <f>'FOFIR  INCREMENTO'!D23+'FOFIR ESTIMACIONES'!D23</f>
        <v>129609.33654844601</v>
      </c>
      <c r="E20" s="647">
        <f>'FOFIR  INCREMENTO'!E23+'FOFIR ESTIMACIONES'!E23</f>
        <v>129609.33654844601</v>
      </c>
      <c r="F20" s="647">
        <f>'FOFIR  INCREMENTO'!F23+'FOFIR ESTIMACIONES'!F23</f>
        <v>202268.54261029488</v>
      </c>
      <c r="G20" s="647">
        <f>'FOFIR  INCREMENTO'!G23+'FOFIR ESTIMACIONES'!G23</f>
        <v>129609.33654844601</v>
      </c>
      <c r="H20" s="647">
        <f>'FOFIR  INCREMENTO'!H23+'FOFIR ESTIMACIONES'!H23</f>
        <v>129609.33654844601</v>
      </c>
      <c r="I20" s="647">
        <f>'FOFIR  INCREMENTO'!I23+'FOFIR ESTIMACIONES'!I23</f>
        <v>169318.72595616503</v>
      </c>
      <c r="J20" s="647">
        <f>'FOFIR  INCREMENTO'!J23+'FOFIR ESTIMACIONES'!J23</f>
        <v>129609.33654844602</v>
      </c>
      <c r="K20" s="647">
        <f>'FOFIR  INCREMENTO'!K23+'FOFIR ESTIMACIONES'!K23</f>
        <v>129609.33654844602</v>
      </c>
      <c r="L20" s="647">
        <f>'FOFIR  INCREMENTO'!L23+'FOFIR ESTIMACIONES'!L23</f>
        <v>175831.61604310034</v>
      </c>
      <c r="M20" s="647">
        <f>'FOFIR  INCREMENTO'!M23+'FOFIR ESTIMACIONES'!M23</f>
        <v>129609.33654844605</v>
      </c>
      <c r="N20" s="647">
        <f>'FOFIR  INCREMENTO'!N23+'FOFIR ESTIMACIONES'!N23</f>
        <v>129609.33654844605</v>
      </c>
      <c r="O20" s="648">
        <f t="shared" si="0"/>
        <v>1753381.5184644014</v>
      </c>
      <c r="Q20" s="649"/>
    </row>
    <row r="21" spans="1:17" x14ac:dyDescent="0.2">
      <c r="A21" s="645" t="s">
        <v>163</v>
      </c>
      <c r="B21" s="657"/>
      <c r="C21" s="647">
        <f>'FOFIR  INCREMENTO'!C24+'FOFIR ESTIMACIONES'!C24</f>
        <v>3517345.046447468</v>
      </c>
      <c r="D21" s="647">
        <f>'FOFIR  INCREMENTO'!D24+'FOFIR ESTIMACIONES'!D24</f>
        <v>1495491.0239187365</v>
      </c>
      <c r="E21" s="647">
        <f>'FOFIR  INCREMENTO'!E24+'FOFIR ESTIMACIONES'!E24</f>
        <v>1495491.0239187365</v>
      </c>
      <c r="F21" s="647">
        <f>'FOFIR  INCREMENTO'!F24+'FOFIR ESTIMACIONES'!F24</f>
        <v>6071521.3413220476</v>
      </c>
      <c r="G21" s="647">
        <f>'FOFIR  INCREMENTO'!G24+'FOFIR ESTIMACIONES'!G24</f>
        <v>1495491.0239187365</v>
      </c>
      <c r="H21" s="647">
        <f>'FOFIR  INCREMENTO'!H24+'FOFIR ESTIMACIONES'!H24</f>
        <v>1495491.0239187365</v>
      </c>
      <c r="I21" s="647">
        <f>'FOFIR  INCREMENTO'!I24+'FOFIR ESTIMACIONES'!I24</f>
        <v>4661742.9321290217</v>
      </c>
      <c r="J21" s="647">
        <f>'FOFIR  INCREMENTO'!J24+'FOFIR ESTIMACIONES'!J24</f>
        <v>1495491.0239187363</v>
      </c>
      <c r="K21" s="647">
        <f>'FOFIR  INCREMENTO'!K24+'FOFIR ESTIMACIONES'!K24</f>
        <v>1495491.0239187363</v>
      </c>
      <c r="L21" s="647">
        <f>'FOFIR  INCREMENTO'!L24+'FOFIR ESTIMACIONES'!L24</f>
        <v>4441677.8256046139</v>
      </c>
      <c r="M21" s="647">
        <f>'FOFIR  INCREMENTO'!M24+'FOFIR ESTIMACIONES'!M24</f>
        <v>1495491.0239187363</v>
      </c>
      <c r="N21" s="647">
        <f>'FOFIR  INCREMENTO'!N24+'FOFIR ESTIMACIONES'!N24</f>
        <v>1495491.0239187363</v>
      </c>
      <c r="O21" s="648">
        <f t="shared" si="0"/>
        <v>30656215.336853046</v>
      </c>
      <c r="Q21" s="649"/>
    </row>
    <row r="22" spans="1:17" x14ac:dyDescent="0.2">
      <c r="A22" s="645" t="s">
        <v>164</v>
      </c>
      <c r="B22" s="657"/>
      <c r="C22" s="647">
        <f>'FOFIR  INCREMENTO'!C25+'FOFIR ESTIMACIONES'!C25</f>
        <v>128874.82623522831</v>
      </c>
      <c r="D22" s="647">
        <f>'FOFIR  INCREMENTO'!D25+'FOFIR ESTIMACIONES'!D25</f>
        <v>99104.534266151604</v>
      </c>
      <c r="E22" s="647">
        <f>'FOFIR  INCREMENTO'!E25+'FOFIR ESTIMACIONES'!E25</f>
        <v>99104.534266151604</v>
      </c>
      <c r="F22" s="647">
        <f>'FOFIR  INCREMENTO'!F25+'FOFIR ESTIMACIONES'!F25</f>
        <v>153668.48247167547</v>
      </c>
      <c r="G22" s="647">
        <f>'FOFIR  INCREMENTO'!G25+'FOFIR ESTIMACIONES'!G25</f>
        <v>99104.534266151604</v>
      </c>
      <c r="H22" s="647">
        <f>'FOFIR  INCREMENTO'!H25+'FOFIR ESTIMACIONES'!H25</f>
        <v>99104.534266151604</v>
      </c>
      <c r="I22" s="647">
        <f>'FOFIR  INCREMENTO'!I25+'FOFIR ESTIMACIONES'!I25</f>
        <v>128747.59205022419</v>
      </c>
      <c r="J22" s="647">
        <f>'FOFIR  INCREMENTO'!J25+'FOFIR ESTIMACIONES'!J25</f>
        <v>99104.534266151619</v>
      </c>
      <c r="K22" s="647">
        <f>'FOFIR  INCREMENTO'!K25+'FOFIR ESTIMACIONES'!K25</f>
        <v>99104.534266151619</v>
      </c>
      <c r="L22" s="647">
        <f>'FOFIR  INCREMENTO'!L25+'FOFIR ESTIMACIONES'!L25</f>
        <v>133806.13771436297</v>
      </c>
      <c r="M22" s="647">
        <f>'FOFIR  INCREMENTO'!M25+'FOFIR ESTIMACIONES'!M25</f>
        <v>99104.534266151648</v>
      </c>
      <c r="N22" s="647">
        <f>'FOFIR  INCREMENTO'!N25+'FOFIR ESTIMACIONES'!N25</f>
        <v>99104.534266151648</v>
      </c>
      <c r="O22" s="648">
        <f t="shared" si="0"/>
        <v>1337933.3126007041</v>
      </c>
      <c r="Q22" s="649"/>
    </row>
    <row r="23" spans="1:17" ht="13.5" thickBot="1" x14ac:dyDescent="0.25">
      <c r="A23" s="645" t="s">
        <v>165</v>
      </c>
      <c r="B23" s="658"/>
      <c r="C23" s="647">
        <f>'FOFIR  INCREMENTO'!C26+'FOFIR ESTIMACIONES'!C26</f>
        <v>237610.23874925557</v>
      </c>
      <c r="D23" s="647">
        <f>'FOFIR  INCREMENTO'!D26+'FOFIR ESTIMACIONES'!D26</f>
        <v>156399.93193719885</v>
      </c>
      <c r="E23" s="647">
        <f>'FOFIR  INCREMENTO'!E26+'FOFIR ESTIMACIONES'!E26</f>
        <v>156399.93193719885</v>
      </c>
      <c r="F23" s="647">
        <f>'FOFIR  INCREMENTO'!F26+'FOFIR ESTIMACIONES'!F26</f>
        <v>324187.57725123956</v>
      </c>
      <c r="G23" s="647">
        <f>'FOFIR  INCREMENTO'!G26+'FOFIR ESTIMACIONES'!G26</f>
        <v>156399.93193719885</v>
      </c>
      <c r="H23" s="647">
        <f>'FOFIR  INCREMENTO'!H26+'FOFIR ESTIMACIONES'!H26</f>
        <v>156399.93193719885</v>
      </c>
      <c r="I23" s="647">
        <f>'FOFIR  INCREMENTO'!I26+'FOFIR ESTIMACIONES'!I26</f>
        <v>262359.65985316347</v>
      </c>
      <c r="J23" s="647">
        <f>'FOFIR  INCREMENTO'!J26+'FOFIR ESTIMACIONES'!J26</f>
        <v>156399.93193719885</v>
      </c>
      <c r="K23" s="647">
        <f>'FOFIR  INCREMENTO'!K26+'FOFIR ESTIMACIONES'!K26</f>
        <v>156399.93193719885</v>
      </c>
      <c r="L23" s="647">
        <f>'FOFIR  INCREMENTO'!L26+'FOFIR ESTIMACIONES'!L26</f>
        <v>263891.4321230473</v>
      </c>
      <c r="M23" s="647">
        <f>'FOFIR  INCREMENTO'!M26+'FOFIR ESTIMACIONES'!M26</f>
        <v>156399.93193719891</v>
      </c>
      <c r="N23" s="647">
        <f>'FOFIR  INCREMENTO'!N26+'FOFIR ESTIMACIONES'!N26</f>
        <v>156399.93193719891</v>
      </c>
      <c r="O23" s="648">
        <f t="shared" si="0"/>
        <v>2339248.3634742969</v>
      </c>
      <c r="Q23" s="649"/>
    </row>
    <row r="24" spans="1:17" ht="13.5" thickBot="1" x14ac:dyDescent="0.25">
      <c r="A24" s="650" t="s">
        <v>288</v>
      </c>
      <c r="B24" s="651">
        <f t="shared" ref="B24:N24" si="1">SUM(B4:B23)</f>
        <v>0</v>
      </c>
      <c r="C24" s="652">
        <f t="shared" si="1"/>
        <v>7401847.602785917</v>
      </c>
      <c r="D24" s="652">
        <f t="shared" si="1"/>
        <v>3809901.8677823078</v>
      </c>
      <c r="E24" s="652">
        <f t="shared" si="1"/>
        <v>3809901.8677823078</v>
      </c>
      <c r="F24" s="652">
        <f t="shared" si="1"/>
        <v>11747807.106382679</v>
      </c>
      <c r="G24" s="652">
        <f t="shared" si="1"/>
        <v>3809901.8677823078</v>
      </c>
      <c r="H24" s="652">
        <f t="shared" si="1"/>
        <v>3809901.8677823078</v>
      </c>
      <c r="I24" s="652">
        <f t="shared" si="1"/>
        <v>9180978.9444860108</v>
      </c>
      <c r="J24" s="652">
        <f t="shared" si="1"/>
        <v>3809901.8677823069</v>
      </c>
      <c r="K24" s="652">
        <f t="shared" si="1"/>
        <v>3809901.8677823069</v>
      </c>
      <c r="L24" s="652">
        <f t="shared" si="1"/>
        <v>8914158.4790869243</v>
      </c>
      <c r="M24" s="652">
        <f t="shared" si="1"/>
        <v>3809901.8677823078</v>
      </c>
      <c r="N24" s="652">
        <f t="shared" si="1"/>
        <v>3809901.8677823078</v>
      </c>
      <c r="O24" s="652">
        <f t="shared" si="0"/>
        <v>67724007.075000003</v>
      </c>
    </row>
    <row r="25" spans="1:17" x14ac:dyDescent="0.2">
      <c r="A25" s="654" t="s">
        <v>289</v>
      </c>
    </row>
    <row r="27" spans="1:17" x14ac:dyDescent="0.2">
      <c r="A27" s="949"/>
      <c r="B27" s="949"/>
      <c r="C27" s="950"/>
      <c r="D27" s="950"/>
      <c r="E27" s="950"/>
      <c r="F27" s="950"/>
      <c r="G27" s="950"/>
      <c r="H27" s="950"/>
      <c r="I27" s="950"/>
      <c r="J27" s="950"/>
      <c r="K27" s="950"/>
      <c r="L27" s="950"/>
      <c r="M27" s="950"/>
      <c r="N27" s="950"/>
      <c r="O27" s="949"/>
    </row>
    <row r="28" spans="1:17" x14ac:dyDescent="0.2">
      <c r="A28" s="949"/>
      <c r="B28" s="949"/>
      <c r="C28" s="950"/>
      <c r="D28" s="950"/>
      <c r="E28" s="950"/>
      <c r="F28" s="950"/>
      <c r="G28" s="950"/>
      <c r="H28" s="950"/>
      <c r="I28" s="950"/>
      <c r="J28" s="950"/>
      <c r="K28" s="950"/>
      <c r="L28" s="950"/>
      <c r="M28" s="950"/>
      <c r="N28" s="950"/>
      <c r="O28" s="949"/>
    </row>
    <row r="29" spans="1:17" x14ac:dyDescent="0.2">
      <c r="A29" s="949"/>
      <c r="B29" s="949"/>
      <c r="C29" s="950"/>
      <c r="D29" s="950"/>
      <c r="E29" s="950"/>
      <c r="F29" s="950"/>
      <c r="G29" s="950"/>
      <c r="H29" s="950"/>
      <c r="I29" s="950"/>
      <c r="J29" s="950"/>
      <c r="K29" s="950"/>
      <c r="L29" s="950"/>
      <c r="M29" s="950"/>
      <c r="N29" s="950"/>
      <c r="O29" s="949"/>
    </row>
    <row r="30" spans="1:17" x14ac:dyDescent="0.2">
      <c r="A30" s="949"/>
      <c r="B30" s="949"/>
      <c r="C30" s="950"/>
      <c r="D30" s="950"/>
      <c r="E30" s="950"/>
      <c r="F30" s="950"/>
      <c r="G30" s="950"/>
      <c r="H30" s="950"/>
      <c r="I30" s="950"/>
      <c r="J30" s="950"/>
      <c r="K30" s="950"/>
      <c r="L30" s="950"/>
      <c r="M30" s="950"/>
      <c r="N30" s="950"/>
      <c r="O30" s="949"/>
    </row>
    <row r="31" spans="1:17" x14ac:dyDescent="0.2">
      <c r="A31" s="949"/>
      <c r="B31" s="949"/>
      <c r="C31" s="950"/>
      <c r="D31" s="950"/>
      <c r="E31" s="950"/>
      <c r="F31" s="950"/>
      <c r="G31" s="950"/>
      <c r="H31" s="950"/>
      <c r="I31" s="950"/>
      <c r="J31" s="950"/>
      <c r="K31" s="950"/>
      <c r="L31" s="950"/>
      <c r="M31" s="950"/>
      <c r="N31" s="950"/>
      <c r="O31" s="949"/>
    </row>
    <row r="32" spans="1:17" x14ac:dyDescent="0.2">
      <c r="A32" s="949"/>
      <c r="B32" s="949"/>
      <c r="C32" s="950"/>
      <c r="D32" s="950"/>
      <c r="E32" s="950"/>
      <c r="F32" s="950"/>
      <c r="G32" s="950"/>
      <c r="H32" s="950"/>
      <c r="I32" s="950"/>
      <c r="J32" s="950"/>
      <c r="K32" s="950"/>
      <c r="L32" s="950"/>
      <c r="M32" s="950"/>
      <c r="N32" s="950"/>
      <c r="O32" s="949"/>
    </row>
    <row r="33" spans="1:15" x14ac:dyDescent="0.2">
      <c r="A33" s="949"/>
      <c r="B33" s="949"/>
      <c r="C33" s="950"/>
      <c r="D33" s="950"/>
      <c r="E33" s="950"/>
      <c r="F33" s="950"/>
      <c r="G33" s="950"/>
      <c r="H33" s="950"/>
      <c r="I33" s="950"/>
      <c r="J33" s="950"/>
      <c r="K33" s="950"/>
      <c r="L33" s="950"/>
      <c r="M33" s="950"/>
      <c r="N33" s="950"/>
      <c r="O33" s="949"/>
    </row>
    <row r="34" spans="1:15" x14ac:dyDescent="0.2">
      <c r="A34" s="949"/>
      <c r="B34" s="949"/>
      <c r="C34" s="950"/>
      <c r="D34" s="950"/>
      <c r="E34" s="950"/>
      <c r="F34" s="950"/>
      <c r="G34" s="950"/>
      <c r="H34" s="950"/>
      <c r="I34" s="950"/>
      <c r="J34" s="950"/>
      <c r="K34" s="950"/>
      <c r="L34" s="950"/>
      <c r="M34" s="950"/>
      <c r="N34" s="950"/>
      <c r="O34" s="949"/>
    </row>
    <row r="35" spans="1:15" x14ac:dyDescent="0.2">
      <c r="A35" s="949"/>
      <c r="B35" s="949"/>
      <c r="C35" s="950"/>
      <c r="D35" s="950"/>
      <c r="E35" s="950"/>
      <c r="F35" s="950"/>
      <c r="G35" s="950"/>
      <c r="H35" s="950"/>
      <c r="I35" s="950"/>
      <c r="J35" s="950"/>
      <c r="K35" s="950"/>
      <c r="L35" s="950"/>
      <c r="M35" s="950"/>
      <c r="N35" s="950"/>
      <c r="O35" s="949"/>
    </row>
    <row r="36" spans="1:15" x14ac:dyDescent="0.2">
      <c r="A36" s="949"/>
      <c r="B36" s="949"/>
      <c r="C36" s="950"/>
      <c r="D36" s="950"/>
      <c r="E36" s="950"/>
      <c r="F36" s="950"/>
      <c r="G36" s="950"/>
      <c r="H36" s="950"/>
      <c r="I36" s="950"/>
      <c r="J36" s="950"/>
      <c r="K36" s="950"/>
      <c r="L36" s="950"/>
      <c r="M36" s="950"/>
      <c r="N36" s="950"/>
      <c r="O36" s="949"/>
    </row>
    <row r="37" spans="1:15" x14ac:dyDescent="0.2">
      <c r="A37" s="949"/>
      <c r="B37" s="949"/>
      <c r="C37" s="950"/>
      <c r="D37" s="950"/>
      <c r="E37" s="950"/>
      <c r="F37" s="950"/>
      <c r="G37" s="950"/>
      <c r="H37" s="950"/>
      <c r="I37" s="950"/>
      <c r="J37" s="950"/>
      <c r="K37" s="950"/>
      <c r="L37" s="950"/>
      <c r="M37" s="950"/>
      <c r="N37" s="950"/>
      <c r="O37" s="949"/>
    </row>
    <row r="38" spans="1:15" x14ac:dyDescent="0.2">
      <c r="A38" s="949"/>
      <c r="B38" s="949"/>
      <c r="C38" s="950"/>
      <c r="D38" s="950"/>
      <c r="E38" s="950"/>
      <c r="F38" s="950"/>
      <c r="G38" s="950"/>
      <c r="H38" s="950"/>
      <c r="I38" s="950"/>
      <c r="J38" s="950"/>
      <c r="K38" s="950"/>
      <c r="L38" s="950"/>
      <c r="M38" s="950"/>
      <c r="N38" s="950"/>
      <c r="O38" s="949"/>
    </row>
    <row r="39" spans="1:15" x14ac:dyDescent="0.2">
      <c r="A39" s="949"/>
      <c r="B39" s="949"/>
      <c r="C39" s="950"/>
      <c r="D39" s="950"/>
      <c r="E39" s="950"/>
      <c r="F39" s="950"/>
      <c r="G39" s="950"/>
      <c r="H39" s="950"/>
      <c r="I39" s="950"/>
      <c r="J39" s="950"/>
      <c r="K39" s="950"/>
      <c r="L39" s="950"/>
      <c r="M39" s="950"/>
      <c r="N39" s="950"/>
      <c r="O39" s="949"/>
    </row>
    <row r="40" spans="1:15" x14ac:dyDescent="0.2">
      <c r="A40" s="949"/>
      <c r="B40" s="949"/>
      <c r="C40" s="950"/>
      <c r="D40" s="950"/>
      <c r="E40" s="950"/>
      <c r="F40" s="950"/>
      <c r="G40" s="950"/>
      <c r="H40" s="950"/>
      <c r="I40" s="950"/>
      <c r="J40" s="950"/>
      <c r="K40" s="950"/>
      <c r="L40" s="950"/>
      <c r="M40" s="950"/>
      <c r="N40" s="950"/>
      <c r="O40" s="949"/>
    </row>
    <row r="41" spans="1:15" x14ac:dyDescent="0.2">
      <c r="A41" s="949"/>
      <c r="B41" s="949"/>
      <c r="C41" s="950"/>
      <c r="D41" s="950"/>
      <c r="E41" s="950"/>
      <c r="F41" s="950"/>
      <c r="G41" s="950"/>
      <c r="H41" s="950"/>
      <c r="I41" s="950"/>
      <c r="J41" s="950"/>
      <c r="K41" s="950"/>
      <c r="L41" s="950"/>
      <c r="M41" s="950"/>
      <c r="N41" s="950"/>
      <c r="O41" s="949"/>
    </row>
    <row r="42" spans="1:15" x14ac:dyDescent="0.2">
      <c r="A42" s="949"/>
      <c r="B42" s="949"/>
      <c r="C42" s="950"/>
      <c r="D42" s="950"/>
      <c r="E42" s="950"/>
      <c r="F42" s="950"/>
      <c r="G42" s="950"/>
      <c r="H42" s="950"/>
      <c r="I42" s="950"/>
      <c r="J42" s="950"/>
      <c r="K42" s="950"/>
      <c r="L42" s="950"/>
      <c r="M42" s="950"/>
      <c r="N42" s="950"/>
      <c r="O42" s="949"/>
    </row>
    <row r="43" spans="1:15" x14ac:dyDescent="0.2">
      <c r="A43" s="949"/>
      <c r="B43" s="949"/>
      <c r="C43" s="950"/>
      <c r="D43" s="950"/>
      <c r="E43" s="950"/>
      <c r="F43" s="950"/>
      <c r="G43" s="950"/>
      <c r="H43" s="950"/>
      <c r="I43" s="950"/>
      <c r="J43" s="950"/>
      <c r="K43" s="950"/>
      <c r="L43" s="950"/>
      <c r="M43" s="950"/>
      <c r="N43" s="950"/>
      <c r="O43" s="949"/>
    </row>
    <row r="44" spans="1:15" x14ac:dyDescent="0.2">
      <c r="A44" s="949"/>
      <c r="B44" s="949"/>
      <c r="C44" s="950"/>
      <c r="D44" s="950"/>
      <c r="E44" s="950"/>
      <c r="F44" s="950"/>
      <c r="G44" s="950"/>
      <c r="H44" s="950"/>
      <c r="I44" s="950"/>
      <c r="J44" s="950"/>
      <c r="K44" s="950"/>
      <c r="L44" s="950"/>
      <c r="M44" s="950"/>
      <c r="N44" s="950"/>
      <c r="O44" s="949"/>
    </row>
    <row r="45" spans="1:15" x14ac:dyDescent="0.2">
      <c r="A45" s="949"/>
      <c r="B45" s="949"/>
      <c r="C45" s="950"/>
      <c r="D45" s="950"/>
      <c r="E45" s="950"/>
      <c r="F45" s="950"/>
      <c r="G45" s="950"/>
      <c r="H45" s="950"/>
      <c r="I45" s="950"/>
      <c r="J45" s="950"/>
      <c r="K45" s="950"/>
      <c r="L45" s="950"/>
      <c r="M45" s="950"/>
      <c r="N45" s="950"/>
      <c r="O45" s="949"/>
    </row>
    <row r="46" spans="1:15" x14ac:dyDescent="0.2">
      <c r="A46" s="949"/>
      <c r="B46" s="949"/>
      <c r="C46" s="950"/>
      <c r="D46" s="950"/>
      <c r="E46" s="950"/>
      <c r="F46" s="950"/>
      <c r="G46" s="950"/>
      <c r="H46" s="950"/>
      <c r="I46" s="950"/>
      <c r="J46" s="950"/>
      <c r="K46" s="950"/>
      <c r="L46" s="950"/>
      <c r="M46" s="950"/>
      <c r="N46" s="950"/>
      <c r="O46" s="949"/>
    </row>
    <row r="47" spans="1:15" x14ac:dyDescent="0.2">
      <c r="A47" s="949"/>
      <c r="B47" s="949"/>
      <c r="C47" s="949"/>
      <c r="D47" s="949"/>
      <c r="E47" s="949"/>
      <c r="F47" s="949"/>
      <c r="G47" s="949"/>
      <c r="H47" s="949"/>
      <c r="I47" s="949"/>
      <c r="J47" s="949"/>
      <c r="K47" s="949"/>
      <c r="L47" s="949"/>
      <c r="M47" s="949"/>
      <c r="N47" s="949"/>
      <c r="O47" s="949"/>
    </row>
    <row r="48" spans="1:15" x14ac:dyDescent="0.2">
      <c r="C48" s="757"/>
      <c r="D48" s="949"/>
      <c r="E48" s="949"/>
      <c r="F48" s="949"/>
      <c r="G48" s="949"/>
      <c r="H48" s="949"/>
      <c r="I48" s="949"/>
      <c r="J48" s="949"/>
      <c r="K48" s="949"/>
      <c r="L48" s="949"/>
      <c r="M48" s="949"/>
      <c r="N48" s="949"/>
    </row>
    <row r="49" spans="3:15" x14ac:dyDescent="0.2">
      <c r="C49" s="757"/>
      <c r="D49" s="757"/>
      <c r="E49" s="757"/>
      <c r="F49" s="757"/>
      <c r="G49" s="757"/>
      <c r="H49" s="757"/>
      <c r="I49" s="757"/>
      <c r="J49" s="757"/>
      <c r="K49" s="757"/>
      <c r="L49" s="757"/>
      <c r="M49" s="757"/>
      <c r="N49" s="757"/>
    </row>
    <row r="50" spans="3:15" x14ac:dyDescent="0.2">
      <c r="C50" s="757"/>
      <c r="D50" s="757"/>
      <c r="E50" s="757"/>
      <c r="F50" s="757"/>
      <c r="G50" s="757"/>
      <c r="H50" s="757"/>
      <c r="I50" s="757"/>
      <c r="J50" s="757"/>
      <c r="K50" s="757"/>
      <c r="L50" s="757"/>
      <c r="M50" s="757"/>
      <c r="N50" s="757"/>
    </row>
    <row r="51" spans="3:15" x14ac:dyDescent="0.2">
      <c r="C51" s="757"/>
      <c r="D51" s="757"/>
      <c r="E51" s="757"/>
      <c r="F51" s="757"/>
      <c r="G51" s="757"/>
      <c r="H51" s="757"/>
      <c r="I51" s="757"/>
      <c r="J51" s="757"/>
      <c r="K51" s="757"/>
      <c r="L51" s="757"/>
      <c r="M51" s="757"/>
      <c r="N51" s="757"/>
      <c r="O51" s="757"/>
    </row>
    <row r="52" spans="3:15" x14ac:dyDescent="0.2">
      <c r="C52" s="757"/>
      <c r="D52" s="757"/>
      <c r="E52" s="757"/>
      <c r="F52" s="757"/>
      <c r="G52" s="757"/>
      <c r="H52" s="757"/>
      <c r="I52" s="757"/>
      <c r="J52" s="757"/>
      <c r="K52" s="757"/>
      <c r="L52" s="757"/>
      <c r="M52" s="757"/>
      <c r="N52" s="757"/>
      <c r="O52" s="757"/>
    </row>
    <row r="53" spans="3:15" x14ac:dyDescent="0.2">
      <c r="C53" s="757"/>
      <c r="D53" s="757"/>
      <c r="E53" s="757"/>
      <c r="F53" s="757"/>
      <c r="G53" s="757"/>
      <c r="H53" s="757"/>
      <c r="I53" s="757"/>
      <c r="J53" s="757"/>
      <c r="K53" s="757"/>
      <c r="L53" s="757"/>
      <c r="M53" s="757"/>
      <c r="N53" s="757"/>
      <c r="O53" s="757"/>
    </row>
    <row r="54" spans="3:15" x14ac:dyDescent="0.2">
      <c r="C54" s="757"/>
      <c r="D54" s="757"/>
      <c r="E54" s="757"/>
      <c r="F54" s="757"/>
      <c r="G54" s="757"/>
      <c r="H54" s="757"/>
      <c r="I54" s="757"/>
      <c r="J54" s="757"/>
      <c r="K54" s="757"/>
      <c r="L54" s="757"/>
      <c r="M54" s="757"/>
      <c r="N54" s="757"/>
      <c r="O54" s="757"/>
    </row>
    <row r="55" spans="3:15" x14ac:dyDescent="0.2">
      <c r="C55" s="757"/>
      <c r="D55" s="757"/>
      <c r="E55" s="757"/>
      <c r="F55" s="757"/>
      <c r="G55" s="757"/>
      <c r="H55" s="757"/>
      <c r="I55" s="757"/>
      <c r="J55" s="757"/>
      <c r="K55" s="757"/>
      <c r="L55" s="757"/>
      <c r="M55" s="757"/>
      <c r="N55" s="757"/>
      <c r="O55" s="757"/>
    </row>
    <row r="56" spans="3:15" x14ac:dyDescent="0.2">
      <c r="C56" s="757"/>
      <c r="D56" s="757"/>
      <c r="E56" s="757"/>
      <c r="F56" s="757"/>
      <c r="G56" s="757"/>
      <c r="H56" s="757"/>
      <c r="I56" s="757"/>
      <c r="J56" s="757"/>
      <c r="K56" s="757"/>
      <c r="L56" s="757"/>
      <c r="M56" s="757"/>
      <c r="N56" s="757"/>
      <c r="O56" s="757"/>
    </row>
    <row r="57" spans="3:15" x14ac:dyDescent="0.2">
      <c r="C57" s="757"/>
      <c r="D57" s="757"/>
      <c r="E57" s="757"/>
      <c r="F57" s="757"/>
      <c r="G57" s="757"/>
      <c r="H57" s="757"/>
      <c r="I57" s="757"/>
      <c r="J57" s="757"/>
      <c r="K57" s="757"/>
      <c r="L57" s="757"/>
      <c r="M57" s="757"/>
      <c r="N57" s="757"/>
      <c r="O57" s="757"/>
    </row>
    <row r="58" spans="3:15" x14ac:dyDescent="0.2">
      <c r="C58" s="757"/>
      <c r="D58" s="757"/>
      <c r="E58" s="757"/>
      <c r="F58" s="757"/>
      <c r="G58" s="757"/>
      <c r="H58" s="757"/>
      <c r="I58" s="757"/>
      <c r="J58" s="757"/>
      <c r="K58" s="757"/>
      <c r="L58" s="757"/>
      <c r="M58" s="757"/>
      <c r="N58" s="757"/>
      <c r="O58" s="757"/>
    </row>
    <row r="59" spans="3:15" x14ac:dyDescent="0.2">
      <c r="C59" s="757"/>
      <c r="D59" s="757"/>
      <c r="E59" s="757"/>
      <c r="F59" s="757"/>
      <c r="G59" s="757"/>
      <c r="H59" s="757"/>
      <c r="I59" s="757"/>
      <c r="J59" s="757"/>
      <c r="K59" s="757"/>
      <c r="L59" s="757"/>
      <c r="M59" s="757"/>
      <c r="N59" s="757"/>
      <c r="O59" s="757"/>
    </row>
    <row r="60" spans="3:15" x14ac:dyDescent="0.2">
      <c r="C60" s="757"/>
      <c r="D60" s="757"/>
      <c r="E60" s="757"/>
      <c r="F60" s="757"/>
      <c r="G60" s="757"/>
      <c r="H60" s="757"/>
      <c r="I60" s="757"/>
      <c r="J60" s="757"/>
      <c r="K60" s="757"/>
      <c r="L60" s="757"/>
      <c r="M60" s="757"/>
      <c r="N60" s="757"/>
      <c r="O60" s="757"/>
    </row>
    <row r="61" spans="3:15" x14ac:dyDescent="0.2">
      <c r="C61" s="757"/>
      <c r="D61" s="757"/>
      <c r="E61" s="757"/>
      <c r="F61" s="757"/>
      <c r="G61" s="757"/>
      <c r="H61" s="757"/>
      <c r="I61" s="757"/>
      <c r="J61" s="757"/>
      <c r="K61" s="757"/>
      <c r="L61" s="757"/>
      <c r="M61" s="757"/>
      <c r="N61" s="757"/>
      <c r="O61" s="757"/>
    </row>
    <row r="62" spans="3:15" x14ac:dyDescent="0.2">
      <c r="C62" s="757"/>
      <c r="D62" s="757"/>
      <c r="E62" s="757"/>
      <c r="F62" s="757"/>
      <c r="G62" s="757"/>
      <c r="H62" s="757"/>
      <c r="I62" s="757"/>
      <c r="J62" s="757"/>
      <c r="K62" s="757"/>
      <c r="L62" s="757"/>
      <c r="M62" s="757"/>
      <c r="N62" s="757"/>
      <c r="O62" s="757"/>
    </row>
    <row r="63" spans="3:15" x14ac:dyDescent="0.2">
      <c r="C63" s="757"/>
      <c r="D63" s="757"/>
      <c r="E63" s="757"/>
      <c r="F63" s="757"/>
      <c r="G63" s="757"/>
      <c r="H63" s="757"/>
      <c r="I63" s="757"/>
      <c r="J63" s="757"/>
      <c r="K63" s="757"/>
      <c r="L63" s="757"/>
      <c r="M63" s="757"/>
      <c r="N63" s="757"/>
      <c r="O63" s="757"/>
    </row>
    <row r="64" spans="3:15" x14ac:dyDescent="0.2">
      <c r="C64" s="757"/>
      <c r="D64" s="757"/>
      <c r="E64" s="757"/>
      <c r="F64" s="757"/>
      <c r="G64" s="757"/>
      <c r="H64" s="757"/>
      <c r="I64" s="757"/>
      <c r="J64" s="757"/>
      <c r="K64" s="757"/>
      <c r="L64" s="757"/>
      <c r="M64" s="757"/>
      <c r="N64" s="757"/>
      <c r="O64" s="757"/>
    </row>
    <row r="65" spans="3:15" x14ac:dyDescent="0.2">
      <c r="C65" s="757"/>
      <c r="D65" s="757"/>
      <c r="E65" s="757"/>
      <c r="F65" s="757"/>
      <c r="G65" s="757"/>
      <c r="H65" s="757"/>
      <c r="I65" s="757"/>
      <c r="J65" s="757"/>
      <c r="K65" s="757"/>
      <c r="L65" s="757"/>
      <c r="M65" s="757"/>
      <c r="N65" s="757"/>
      <c r="O65" s="757"/>
    </row>
    <row r="66" spans="3:15" x14ac:dyDescent="0.2">
      <c r="C66" s="757"/>
      <c r="D66" s="757"/>
      <c r="E66" s="757"/>
      <c r="F66" s="757"/>
      <c r="G66" s="757"/>
      <c r="H66" s="757"/>
      <c r="I66" s="757"/>
      <c r="J66" s="757"/>
      <c r="K66" s="757"/>
      <c r="L66" s="757"/>
      <c r="M66" s="757"/>
      <c r="N66" s="757"/>
      <c r="O66" s="757"/>
    </row>
    <row r="67" spans="3:15" x14ac:dyDescent="0.2">
      <c r="C67" s="757"/>
      <c r="D67" s="757"/>
      <c r="E67" s="757"/>
      <c r="F67" s="757"/>
      <c r="G67" s="757"/>
      <c r="H67" s="757"/>
      <c r="I67" s="757"/>
      <c r="J67" s="757"/>
      <c r="K67" s="757"/>
      <c r="L67" s="757"/>
      <c r="M67" s="757"/>
      <c r="N67" s="757"/>
      <c r="O67" s="757"/>
    </row>
    <row r="68" spans="3:15" x14ac:dyDescent="0.2">
      <c r="C68" s="757"/>
      <c r="D68" s="757"/>
      <c r="E68" s="757"/>
      <c r="F68" s="757"/>
      <c r="G68" s="757"/>
      <c r="H68" s="757"/>
      <c r="I68" s="757"/>
      <c r="J68" s="757"/>
      <c r="K68" s="757"/>
      <c r="L68" s="757"/>
      <c r="M68" s="757"/>
      <c r="N68" s="757"/>
      <c r="O68" s="757"/>
    </row>
    <row r="69" spans="3:15" x14ac:dyDescent="0.2">
      <c r="C69" s="757"/>
      <c r="D69" s="757"/>
      <c r="E69" s="757"/>
      <c r="F69" s="757"/>
      <c r="G69" s="757"/>
      <c r="H69" s="757"/>
      <c r="I69" s="757"/>
      <c r="J69" s="757"/>
      <c r="K69" s="757"/>
      <c r="L69" s="757"/>
      <c r="M69" s="757"/>
      <c r="N69" s="757"/>
      <c r="O69" s="757"/>
    </row>
    <row r="70" spans="3:15" x14ac:dyDescent="0.2">
      <c r="C70" s="757"/>
      <c r="D70" s="757"/>
      <c r="E70" s="757"/>
      <c r="F70" s="757"/>
      <c r="G70" s="757"/>
      <c r="H70" s="757"/>
      <c r="I70" s="757"/>
      <c r="J70" s="757"/>
      <c r="K70" s="757"/>
      <c r="L70" s="757"/>
      <c r="M70" s="757"/>
      <c r="N70" s="757"/>
      <c r="O70" s="757"/>
    </row>
    <row r="71" spans="3:15" x14ac:dyDescent="0.2">
      <c r="C71" s="757"/>
      <c r="D71" s="757"/>
      <c r="E71" s="757"/>
      <c r="F71" s="757"/>
      <c r="G71" s="757"/>
      <c r="H71" s="757"/>
      <c r="I71" s="757"/>
      <c r="J71" s="757"/>
      <c r="K71" s="757"/>
      <c r="L71" s="757"/>
      <c r="M71" s="757"/>
      <c r="N71" s="757"/>
      <c r="O71" s="757"/>
    </row>
    <row r="72" spans="3:15" x14ac:dyDescent="0.2">
      <c r="C72" s="757"/>
      <c r="D72" s="757"/>
      <c r="E72" s="757"/>
      <c r="F72" s="757"/>
      <c r="G72" s="757"/>
      <c r="H72" s="757"/>
      <c r="I72" s="757"/>
      <c r="J72" s="757"/>
      <c r="K72" s="757"/>
      <c r="L72" s="757"/>
      <c r="M72" s="757"/>
      <c r="N72" s="757"/>
      <c r="O72" s="757"/>
    </row>
    <row r="73" spans="3:15" x14ac:dyDescent="0.2">
      <c r="C73" s="949"/>
      <c r="D73" s="949"/>
      <c r="E73" s="949"/>
      <c r="F73" s="949"/>
      <c r="G73" s="949"/>
      <c r="H73" s="949"/>
      <c r="I73" s="949"/>
      <c r="J73" s="949"/>
      <c r="K73" s="949"/>
      <c r="L73" s="949"/>
      <c r="M73" s="949"/>
      <c r="N73" s="949"/>
    </row>
    <row r="74" spans="3:15" x14ac:dyDescent="0.2">
      <c r="C74" s="949"/>
      <c r="D74" s="949"/>
      <c r="E74" s="949"/>
      <c r="F74" s="949"/>
      <c r="G74" s="949"/>
      <c r="H74" s="949"/>
      <c r="I74" s="949"/>
      <c r="J74" s="949"/>
      <c r="K74" s="949"/>
      <c r="L74" s="949"/>
      <c r="M74" s="949"/>
      <c r="N74" s="949"/>
    </row>
    <row r="75" spans="3:15" x14ac:dyDescent="0.2">
      <c r="C75" s="949"/>
      <c r="D75" s="949"/>
      <c r="E75" s="949"/>
      <c r="F75" s="949"/>
      <c r="G75" s="949"/>
      <c r="H75" s="949"/>
      <c r="I75" s="949"/>
      <c r="J75" s="949"/>
      <c r="K75" s="949"/>
      <c r="L75" s="949"/>
      <c r="M75" s="949"/>
      <c r="N75" s="949"/>
    </row>
  </sheetData>
  <mergeCells count="1">
    <mergeCell ref="A1:O1"/>
  </mergeCells>
  <printOptions horizontalCentered="1"/>
  <pageMargins left="0.78740157480314965" right="0.78740157480314965" top="0.98425196850393704" bottom="0.98425196850393704" header="0" footer="0"/>
  <pageSetup paperSize="5" scale="9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AB72"/>
  <sheetViews>
    <sheetView workbookViewId="0">
      <selection sqref="A1:O1"/>
    </sheetView>
  </sheetViews>
  <sheetFormatPr baseColWidth="10" defaultRowHeight="12.75" x14ac:dyDescent="0.2"/>
  <cols>
    <col min="1" max="1" width="16.5703125" style="640" customWidth="1"/>
    <col min="2" max="2" width="9.28515625" style="640" hidden="1" customWidth="1"/>
    <col min="3" max="15" width="9.7109375" style="640" customWidth="1"/>
    <col min="16" max="16" width="12.7109375" style="640" bestFit="1" customWidth="1"/>
    <col min="17" max="16384" width="11.42578125" style="640"/>
  </cols>
  <sheetData>
    <row r="1" spans="1:28" x14ac:dyDescent="0.2">
      <c r="A1" s="1237" t="s">
        <v>514</v>
      </c>
      <c r="B1" s="1237"/>
      <c r="C1" s="1237"/>
      <c r="D1" s="1237"/>
      <c r="E1" s="1237"/>
      <c r="F1" s="1237"/>
      <c r="G1" s="1237"/>
      <c r="H1" s="1237"/>
      <c r="I1" s="1237"/>
      <c r="J1" s="1237"/>
      <c r="K1" s="1237"/>
      <c r="L1" s="1237"/>
      <c r="M1" s="1237"/>
      <c r="N1" s="1237"/>
      <c r="O1" s="1237"/>
    </row>
    <row r="2" spans="1:28" ht="13.5" thickBot="1" x14ac:dyDescent="0.25"/>
    <row r="3" spans="1:28" ht="23.25" thickBot="1" x14ac:dyDescent="0.25">
      <c r="A3" s="641" t="s">
        <v>346</v>
      </c>
      <c r="B3" s="642" t="s">
        <v>281</v>
      </c>
      <c r="C3" s="641" t="s">
        <v>1</v>
      </c>
      <c r="D3" s="643" t="s">
        <v>2</v>
      </c>
      <c r="E3" s="641" t="s">
        <v>3</v>
      </c>
      <c r="F3" s="643" t="s">
        <v>4</v>
      </c>
      <c r="G3" s="641" t="s">
        <v>5</v>
      </c>
      <c r="H3" s="641" t="s">
        <v>6</v>
      </c>
      <c r="I3" s="641" t="s">
        <v>7</v>
      </c>
      <c r="J3" s="643" t="s">
        <v>8</v>
      </c>
      <c r="K3" s="641" t="s">
        <v>9</v>
      </c>
      <c r="L3" s="643" t="s">
        <v>10</v>
      </c>
      <c r="M3" s="641" t="s">
        <v>11</v>
      </c>
      <c r="N3" s="641" t="s">
        <v>12</v>
      </c>
      <c r="O3" s="644" t="s">
        <v>168</v>
      </c>
    </row>
    <row r="4" spans="1:28" x14ac:dyDescent="0.2">
      <c r="A4" s="645" t="s">
        <v>282</v>
      </c>
      <c r="B4" s="656"/>
      <c r="C4" s="647">
        <f>' FOCO INCREMENTO'!C7+' FOCO ESTIMACION'!C7</f>
        <v>273802.89751825132</v>
      </c>
      <c r="D4" s="647">
        <f>' FOCO INCREMENTO'!D7+' FOCO ESTIMACION'!D7</f>
        <v>303913.17284367047</v>
      </c>
      <c r="E4" s="647">
        <f>' FOCO INCREMENTO'!E7+' FOCO ESTIMACION'!E7</f>
        <v>296419.05194619606</v>
      </c>
      <c r="F4" s="647">
        <f>' FOCO INCREMENTO'!F7+' FOCO ESTIMACION'!F7</f>
        <v>322248.3672782752</v>
      </c>
      <c r="G4" s="647">
        <f>' FOCO INCREMENTO'!G7+' FOCO ESTIMACION'!G7</f>
        <v>321852.41648532369</v>
      </c>
      <c r="H4" s="647">
        <f>' FOCO INCREMENTO'!H7+' FOCO ESTIMACION'!H7</f>
        <v>329159.97331751359</v>
      </c>
      <c r="I4" s="647">
        <f>' FOCO INCREMENTO'!I7+' FOCO ESTIMACION'!I7</f>
        <v>317354.49003393645</v>
      </c>
      <c r="J4" s="647">
        <f>' FOCO INCREMENTO'!J7+' FOCO ESTIMACION'!J7</f>
        <v>328803.66244049073</v>
      </c>
      <c r="K4" s="647">
        <f>' FOCO INCREMENTO'!K7+' FOCO ESTIMACION'!K7</f>
        <v>324500.41335881146</v>
      </c>
      <c r="L4" s="647">
        <f>' FOCO INCREMENTO'!L7+' FOCO ESTIMACION'!L7</f>
        <v>313141.01856456348</v>
      </c>
      <c r="M4" s="647">
        <f>' FOCO INCREMENTO'!M7+' FOCO ESTIMACION'!M7</f>
        <v>323703.45803079952</v>
      </c>
      <c r="N4" s="647">
        <f>' FOCO INCREMENTO'!N7+' FOCO ESTIMACION'!N7</f>
        <v>301749.84943626006</v>
      </c>
      <c r="O4" s="648">
        <f>SUM(C4:N4)</f>
        <v>3756648.7712540915</v>
      </c>
      <c r="P4" s="649"/>
      <c r="Q4" s="649"/>
      <c r="R4" s="649"/>
      <c r="S4" s="649"/>
      <c r="T4" s="649"/>
      <c r="U4" s="649"/>
      <c r="V4" s="649"/>
      <c r="W4" s="649"/>
      <c r="X4" s="649"/>
      <c r="Y4" s="649"/>
      <c r="Z4" s="649"/>
      <c r="AA4" s="649"/>
      <c r="AB4" s="649"/>
    </row>
    <row r="5" spans="1:28" x14ac:dyDescent="0.2">
      <c r="A5" s="645" t="s">
        <v>147</v>
      </c>
      <c r="B5" s="657"/>
      <c r="C5" s="647">
        <f>' FOCO INCREMENTO'!C8+' FOCO ESTIMACION'!C8</f>
        <v>150144.9478351401</v>
      </c>
      <c r="D5" s="647">
        <f>' FOCO INCREMENTO'!D8+' FOCO ESTIMACION'!D8</f>
        <v>181045.11345715204</v>
      </c>
      <c r="E5" s="647">
        <f>' FOCO INCREMENTO'!E8+' FOCO ESTIMACION'!E8</f>
        <v>154141.3503298774</v>
      </c>
      <c r="F5" s="647">
        <f>' FOCO INCREMENTO'!F8+' FOCO ESTIMACION'!F8</f>
        <v>187809.92282433616</v>
      </c>
      <c r="G5" s="647">
        <f>' FOCO INCREMENTO'!G8+' FOCO ESTIMACION'!G8</f>
        <v>177158.49093235744</v>
      </c>
      <c r="H5" s="647">
        <f>' FOCO INCREMENTO'!H8+' FOCO ESTIMACION'!H8</f>
        <v>191236.79540012867</v>
      </c>
      <c r="I5" s="647">
        <f>' FOCO INCREMENTO'!I8+' FOCO ESTIMACION'!I8</f>
        <v>173065.06869926475</v>
      </c>
      <c r="J5" s="647">
        <f>' FOCO INCREMENTO'!J8+' FOCO ESTIMACION'!J8</f>
        <v>186332.69835376769</v>
      </c>
      <c r="K5" s="647">
        <f>' FOCO INCREMENTO'!K8+' FOCO ESTIMACION'!K8</f>
        <v>189170.10291275539</v>
      </c>
      <c r="L5" s="647">
        <f>' FOCO INCREMENTO'!L8+' FOCO ESTIMACION'!L8</f>
        <v>169121.05742063682</v>
      </c>
      <c r="M5" s="647">
        <f>' FOCO INCREMENTO'!M8+' FOCO ESTIMACION'!M8</f>
        <v>186204.19854130613</v>
      </c>
      <c r="N5" s="647">
        <f>' FOCO INCREMENTO'!N8+' FOCO ESTIMACION'!N8</f>
        <v>204011.14570750936</v>
      </c>
      <c r="O5" s="648">
        <f t="shared" ref="O5:O23" si="0">SUM(C5:N5)</f>
        <v>2149440.8924142318</v>
      </c>
      <c r="P5" s="649"/>
      <c r="Q5" s="649"/>
    </row>
    <row r="6" spans="1:28" x14ac:dyDescent="0.2">
      <c r="A6" s="645" t="s">
        <v>148</v>
      </c>
      <c r="B6" s="657"/>
      <c r="C6" s="647">
        <f>' FOCO INCREMENTO'!C9+' FOCO ESTIMACION'!C9</f>
        <v>142056.89074899594</v>
      </c>
      <c r="D6" s="647">
        <f>' FOCO INCREMENTO'!D9+' FOCO ESTIMACION'!D9</f>
        <v>178253.50477336574</v>
      </c>
      <c r="E6" s="647">
        <f>' FOCO INCREMENTO'!E9+' FOCO ESTIMACION'!E9</f>
        <v>141771.52485386169</v>
      </c>
      <c r="F6" s="647">
        <f>' FOCO INCREMENTO'!F9+' FOCO ESTIMACION'!F9</f>
        <v>183062.43128367834</v>
      </c>
      <c r="G6" s="647">
        <f>' FOCO INCREMENTO'!G9+' FOCO ESTIMACION'!G9</f>
        <v>167936.82546372211</v>
      </c>
      <c r="H6" s="647">
        <f>' FOCO INCREMENTO'!H9+' FOCO ESTIMACION'!H9</f>
        <v>186128.97620594519</v>
      </c>
      <c r="I6" s="647">
        <f>' FOCO INCREMENTO'!I9+' FOCO ESTIMACION'!I9</f>
        <v>163276.84099971043</v>
      </c>
      <c r="J6" s="647">
        <f>' FOCO INCREMENTO'!J9+' FOCO ESTIMACION'!J9</f>
        <v>179211.05785924054</v>
      </c>
      <c r="K6" s="647">
        <f>' FOCO INCREMENTO'!K9+' FOCO ESTIMACION'!K9</f>
        <v>184409.92424754947</v>
      </c>
      <c r="L6" s="647">
        <f>' FOCO INCREMENTO'!L9+' FOCO ESTIMACION'!L9</f>
        <v>158755.03796545364</v>
      </c>
      <c r="M6" s="647">
        <f>' FOCO INCREMENTO'!M9+' FOCO ESTIMACION'!M9</f>
        <v>180380.35723157076</v>
      </c>
      <c r="N6" s="647">
        <f>' FOCO INCREMENTO'!N9+' FOCO ESTIMACION'!N9</f>
        <v>211666.90436032147</v>
      </c>
      <c r="O6" s="648">
        <f t="shared" si="0"/>
        <v>2076910.2759934152</v>
      </c>
      <c r="P6" s="649"/>
      <c r="Q6" s="649"/>
    </row>
    <row r="7" spans="1:28" x14ac:dyDescent="0.2">
      <c r="A7" s="645" t="s">
        <v>283</v>
      </c>
      <c r="B7" s="657"/>
      <c r="C7" s="647">
        <f>' FOCO INCREMENTO'!C10+' FOCO ESTIMACION'!C10</f>
        <v>627298.16509943875</v>
      </c>
      <c r="D7" s="647">
        <f>' FOCO INCREMENTO'!D10+' FOCO ESTIMACION'!D10</f>
        <v>730396.86724197888</v>
      </c>
      <c r="E7" s="647">
        <f>' FOCO INCREMENTO'!E10+' FOCO ESTIMACION'!E10</f>
        <v>659184.07265335647</v>
      </c>
      <c r="F7" s="647">
        <f>' FOCO INCREMENTO'!F10+' FOCO ESTIMACION'!F10</f>
        <v>764604.37411834858</v>
      </c>
      <c r="G7" s="647">
        <f>' FOCO INCREMENTO'!G10+' FOCO ESTIMACION'!G10</f>
        <v>738958.29975968658</v>
      </c>
      <c r="H7" s="647">
        <f>' FOCO INCREMENTO'!H10+' FOCO ESTIMACION'!H10</f>
        <v>779578.05597803823</v>
      </c>
      <c r="I7" s="647">
        <f>' FOCO INCREMENTO'!I10+' FOCO ESTIMACION'!I10</f>
        <v>724796.03804389923</v>
      </c>
      <c r="J7" s="647">
        <f>' FOCO INCREMENTO'!J10+' FOCO ESTIMACION'!J10</f>
        <v>767597.74711763591</v>
      </c>
      <c r="K7" s="647">
        <f>' FOCO INCREMENTO'!K10+' FOCO ESTIMACION'!K10</f>
        <v>770060.84795749187</v>
      </c>
      <c r="L7" s="647">
        <f>' FOCO INCREMENTO'!L10+' FOCO ESTIMACION'!L10</f>
        <v>711269.88959047361</v>
      </c>
      <c r="M7" s="647">
        <f>' FOCO INCREMENTO'!M10+' FOCO ESTIMACION'!M10</f>
        <v>762239.20138525288</v>
      </c>
      <c r="N7" s="647">
        <f>' FOCO INCREMENTO'!N10+' FOCO ESTIMACION'!N10</f>
        <v>782703.87488453172</v>
      </c>
      <c r="O7" s="648">
        <f t="shared" si="0"/>
        <v>8818687.4338301327</v>
      </c>
      <c r="P7" s="649"/>
      <c r="Q7" s="649"/>
    </row>
    <row r="8" spans="1:28" x14ac:dyDescent="0.2">
      <c r="A8" s="645" t="s">
        <v>150</v>
      </c>
      <c r="B8" s="657"/>
      <c r="C8" s="647">
        <f>' FOCO INCREMENTO'!C11+' FOCO ESTIMACION'!C11</f>
        <v>442462.91368527338</v>
      </c>
      <c r="D8" s="647">
        <f>' FOCO INCREMENTO'!D11+' FOCO ESTIMACION'!D11</f>
        <v>489771.34462453565</v>
      </c>
      <c r="E8" s="647">
        <f>' FOCO INCREMENTO'!E11+' FOCO ESTIMACION'!E11</f>
        <v>479798.75660801807</v>
      </c>
      <c r="F8" s="647">
        <f>' FOCO INCREMENTO'!F11+' FOCO ESTIMACION'!F11</f>
        <v>519709.37777816621</v>
      </c>
      <c r="G8" s="647">
        <f>' FOCO INCREMENTO'!G11+' FOCO ESTIMACION'!G11</f>
        <v>520048.14519253251</v>
      </c>
      <c r="H8" s="647">
        <f>' FOCO INCREMENTO'!H11+' FOCO ESTIMACION'!H11</f>
        <v>530912.53574447148</v>
      </c>
      <c r="I8" s="647">
        <f>' FOCO INCREMENTO'!I11+' FOCO ESTIMACION'!I11</f>
        <v>512932.12312710815</v>
      </c>
      <c r="J8" s="647">
        <f>' FOCO INCREMENTO'!J11+' FOCO ESTIMACION'!J11</f>
        <v>530778.36437881843</v>
      </c>
      <c r="K8" s="647">
        <f>' FOCO INCREMENTO'!K11+' FOCO ESTIMACION'!K11</f>
        <v>523336.91810101608</v>
      </c>
      <c r="L8" s="647">
        <f>' FOCO INCREMENTO'!L11+' FOCO ESTIMACION'!L11</f>
        <v>506276.39432957629</v>
      </c>
      <c r="M8" s="647">
        <f>' FOCO INCREMENTO'!M11+' FOCO ESTIMACION'!M11</f>
        <v>522286.2261114805</v>
      </c>
      <c r="N8" s="647">
        <f>' FOCO INCREMENTO'!N11+' FOCO ESTIMACION'!N11</f>
        <v>484010.21787309396</v>
      </c>
      <c r="O8" s="648">
        <f t="shared" si="0"/>
        <v>6062323.3175540911</v>
      </c>
      <c r="P8" s="649"/>
      <c r="Q8" s="649"/>
    </row>
    <row r="9" spans="1:28" x14ac:dyDescent="0.2">
      <c r="A9" s="645" t="s">
        <v>284</v>
      </c>
      <c r="B9" s="657"/>
      <c r="C9" s="647">
        <f>' FOCO INCREMENTO'!C12+' FOCO ESTIMACION'!C12</f>
        <v>478587.39200761088</v>
      </c>
      <c r="D9" s="647">
        <f>' FOCO INCREMENTO'!D12+' FOCO ESTIMACION'!D12</f>
        <v>513348.28271851328</v>
      </c>
      <c r="E9" s="647">
        <f>' FOCO INCREMENTO'!E12+' FOCO ESTIMACION'!E12</f>
        <v>528557.91934514989</v>
      </c>
      <c r="F9" s="647">
        <f>' FOCO INCREMENTO'!F12+' FOCO ESTIMACION'!F12</f>
        <v>549482.35603192798</v>
      </c>
      <c r="G9" s="647">
        <f>' FOCO INCREMENTO'!G12+' FOCO ESTIMACION'!G12</f>
        <v>561748.9315148181</v>
      </c>
      <c r="H9" s="647">
        <f>' FOCO INCREMENTO'!H12+' FOCO ESTIMACION'!H12</f>
        <v>562014.45018658787</v>
      </c>
      <c r="I9" s="647">
        <f>' FOCO INCREMENTO'!I12+' FOCO ESTIMACION'!I12</f>
        <v>555907.38053726626</v>
      </c>
      <c r="J9" s="647">
        <f>' FOCO INCREMENTO'!J12+' FOCO ESTIMACION'!J12</f>
        <v>567239.52623962204</v>
      </c>
      <c r="K9" s="647">
        <f>' FOCO INCREMENTO'!K12+' FOCO ESTIMACION'!K12</f>
        <v>553263.24262471788</v>
      </c>
      <c r="L9" s="647">
        <f>' FOCO INCREMENTO'!L12+' FOCO ESTIMACION'!L12</f>
        <v>550571.20202652062</v>
      </c>
      <c r="M9" s="647">
        <f>' FOCO INCREMENTO'!M12+' FOCO ESTIMACION'!M12</f>
        <v>555010.91193123464</v>
      </c>
      <c r="N9" s="647">
        <f>' FOCO INCREMENTO'!N12+' FOCO ESTIMACION'!N12</f>
        <v>479571.46538731974</v>
      </c>
      <c r="O9" s="648">
        <f t="shared" si="0"/>
        <v>6455303.0605512895</v>
      </c>
      <c r="P9" s="649"/>
      <c r="Q9" s="649"/>
    </row>
    <row r="10" spans="1:28" x14ac:dyDescent="0.2">
      <c r="A10" s="645" t="s">
        <v>152</v>
      </c>
      <c r="B10" s="657"/>
      <c r="C10" s="647">
        <f>' FOCO INCREMENTO'!C13+' FOCO ESTIMACION'!C13</f>
        <v>179111.18961639007</v>
      </c>
      <c r="D10" s="647">
        <f>' FOCO INCREMENTO'!D13+' FOCO ESTIMACION'!D13</f>
        <v>214232.77871698415</v>
      </c>
      <c r="E10" s="647">
        <f>' FOCO INCREMENTO'!E13+' FOCO ESTIMACION'!E13</f>
        <v>184895.00127431494</v>
      </c>
      <c r="F10" s="647">
        <f>' FOCO INCREMENTO'!F13+' FOCO ESTIMACION'!F13</f>
        <v>222700.4553352778</v>
      </c>
      <c r="G10" s="647">
        <f>' FOCO INCREMENTO'!G13+' FOCO ESTIMACION'!G13</f>
        <v>211255.86037423363</v>
      </c>
      <c r="H10" s="647">
        <f>' FOCO INCREMENTO'!H13+' FOCO ESTIMACION'!H13</f>
        <v>226832.36954329844</v>
      </c>
      <c r="I10" s="647">
        <f>' FOCO INCREMENTO'!I13+' FOCO ESTIMACION'!I13</f>
        <v>206569.45458612731</v>
      </c>
      <c r="J10" s="647">
        <f>' FOCO INCREMENTO'!J13+' FOCO ESTIMACION'!J13</f>
        <v>221551.54855746633</v>
      </c>
      <c r="K10" s="647">
        <f>' FOCO INCREMENTO'!K13+' FOCO ESTIMACION'!K13</f>
        <v>224307.90108918404</v>
      </c>
      <c r="L10" s="647">
        <f>' FOCO INCREMENTO'!L13+' FOCO ESTIMACION'!L13</f>
        <v>202062.07948107482</v>
      </c>
      <c r="M10" s="647">
        <f>' FOCO INCREMENTO'!M13+' FOCO ESTIMACION'!M13</f>
        <v>221075.60457581771</v>
      </c>
      <c r="N10" s="647">
        <f>' FOCO INCREMENTO'!N13+' FOCO ESTIMACION'!N13</f>
        <v>238708.92640090213</v>
      </c>
      <c r="O10" s="648">
        <f t="shared" si="0"/>
        <v>2553303.1695510712</v>
      </c>
      <c r="P10" s="649"/>
      <c r="Q10" s="649"/>
    </row>
    <row r="11" spans="1:28" x14ac:dyDescent="0.2">
      <c r="A11" s="645" t="s">
        <v>153</v>
      </c>
      <c r="B11" s="657"/>
      <c r="C11" s="647">
        <f>' FOCO INCREMENTO'!C14+' FOCO ESTIMACION'!C14</f>
        <v>204559.56829441781</v>
      </c>
      <c r="D11" s="647">
        <f>' FOCO INCREMENTO'!D14+' FOCO ESTIMACION'!D14</f>
        <v>232583.64886457243</v>
      </c>
      <c r="E11" s="647">
        <f>' FOCO INCREMENTO'!E14+' FOCO ESTIMACION'!E14</f>
        <v>218226.53919003368</v>
      </c>
      <c r="F11" s="647">
        <f>' FOCO INCREMENTO'!F14+' FOCO ESTIMACION'!F14</f>
        <v>245017.99191322905</v>
      </c>
      <c r="G11" s="647">
        <f>' FOCO INCREMENTO'!G14+' FOCO ESTIMACION'!G14</f>
        <v>240713.00698625241</v>
      </c>
      <c r="H11" s="647">
        <f>' FOCO INCREMENTO'!H14+' FOCO ESTIMACION'!H14</f>
        <v>250042.12269755822</v>
      </c>
      <c r="I11" s="647">
        <f>' FOCO INCREMENTO'!I14+' FOCO ESTIMACION'!I14</f>
        <v>236727.47972704729</v>
      </c>
      <c r="J11" s="647">
        <f>' FOCO INCREMENTO'!J14+' FOCO ESTIMACION'!J14</f>
        <v>247966.69660428405</v>
      </c>
      <c r="K11" s="647">
        <f>' FOCO INCREMENTO'!K14+' FOCO ESTIMACION'!K14</f>
        <v>246748.62371093704</v>
      </c>
      <c r="L11" s="647">
        <f>' FOCO INCREMENTO'!L14+' FOCO ESTIMACION'!L14</f>
        <v>232951.94385347652</v>
      </c>
      <c r="M11" s="647">
        <f>' FOCO INCREMENTO'!M14+' FOCO ESTIMACION'!M14</f>
        <v>245181.54426161465</v>
      </c>
      <c r="N11" s="647">
        <f>' FOCO INCREMENTO'!N14+' FOCO ESTIMACION'!N14</f>
        <v>240247.4575041224</v>
      </c>
      <c r="O11" s="648">
        <f t="shared" si="0"/>
        <v>2840966.6236075456</v>
      </c>
      <c r="P11" s="649"/>
      <c r="Q11" s="649"/>
    </row>
    <row r="12" spans="1:28" x14ac:dyDescent="0.2">
      <c r="A12" s="645" t="s">
        <v>154</v>
      </c>
      <c r="B12" s="657"/>
      <c r="C12" s="647">
        <f>' FOCO INCREMENTO'!C15+' FOCO ESTIMACION'!C15</f>
        <v>184534.01064723451</v>
      </c>
      <c r="D12" s="647">
        <f>' FOCO INCREMENTO'!D15+' FOCO ESTIMACION'!D15</f>
        <v>213217.46051857999</v>
      </c>
      <c r="E12" s="647">
        <f>' FOCO INCREMENTO'!E15+' FOCO ESTIMACION'!E15</f>
        <v>194875.17526620271</v>
      </c>
      <c r="F12" s="647">
        <f>' FOCO INCREMENTO'!F15+' FOCO ESTIMACION'!F15</f>
        <v>223656.55441224779</v>
      </c>
      <c r="G12" s="647">
        <f>' FOCO INCREMENTO'!G15+' FOCO ESTIMACION'!G15</f>
        <v>217305.36784708957</v>
      </c>
      <c r="H12" s="647">
        <f>' FOCO INCREMENTO'!H15+' FOCO ESTIMACION'!H15</f>
        <v>228102.94016718867</v>
      </c>
      <c r="I12" s="647">
        <f>' FOCO INCREMENTO'!I15+' FOCO ESTIMACION'!I15</f>
        <v>213325.25683470571</v>
      </c>
      <c r="J12" s="647">
        <f>' FOCO INCREMENTO'!J15+' FOCO ESTIMACION'!J15</f>
        <v>225117.11259108834</v>
      </c>
      <c r="K12" s="647">
        <f>' FOCO INCREMENTO'!K15+' FOCO ESTIMACION'!K15</f>
        <v>225247.38000415161</v>
      </c>
      <c r="L12" s="647">
        <f>' FOCO INCREMENTO'!L15+' FOCO ESTIMACION'!L15</f>
        <v>209533.02489207202</v>
      </c>
      <c r="M12" s="647">
        <f>' FOCO INCREMENTO'!M15+' FOCO ESTIMACION'!M15</f>
        <v>223235.64859323335</v>
      </c>
      <c r="N12" s="647">
        <f>' FOCO INCREMENTO'!N15+' FOCO ESTIMACION'!N15</f>
        <v>225842.87565400649</v>
      </c>
      <c r="O12" s="648">
        <f t="shared" si="0"/>
        <v>2583992.8074278012</v>
      </c>
      <c r="P12" s="649"/>
      <c r="Q12" s="649"/>
    </row>
    <row r="13" spans="1:28" x14ac:dyDescent="0.2">
      <c r="A13" s="645" t="s">
        <v>155</v>
      </c>
      <c r="B13" s="657"/>
      <c r="C13" s="647">
        <f>' FOCO INCREMENTO'!C16+' FOCO ESTIMACION'!C16</f>
        <v>192974.15030388665</v>
      </c>
      <c r="D13" s="647">
        <f>' FOCO INCREMENTO'!D16+' FOCO ESTIMACION'!D16</f>
        <v>225951.85823061588</v>
      </c>
      <c r="E13" s="647">
        <f>' FOCO INCREMENTO'!E16+' FOCO ESTIMACION'!E16</f>
        <v>202046.05974464532</v>
      </c>
      <c r="F13" s="647">
        <f>' FOCO INCREMENTO'!F16+' FOCO ESTIMACION'!F16</f>
        <v>236186.56444977026</v>
      </c>
      <c r="G13" s="647">
        <f>' FOCO INCREMENTO'!G16+' FOCO ESTIMACION'!G16</f>
        <v>227382.16100243217</v>
      </c>
      <c r="H13" s="647">
        <f>' FOCO INCREMENTO'!H16+' FOCO ESTIMACION'!H16</f>
        <v>240761.02883468906</v>
      </c>
      <c r="I13" s="647">
        <f>' FOCO INCREMENTO'!I16+' FOCO ESTIMACION'!I16</f>
        <v>222882.8001160073</v>
      </c>
      <c r="J13" s="647">
        <f>' FOCO INCREMENTO'!J16+' FOCO ESTIMACION'!J16</f>
        <v>236662.65817969112</v>
      </c>
      <c r="K13" s="647">
        <f>' FOCO INCREMENTO'!K16+' FOCO ESTIMACION'!K16</f>
        <v>237876.10678408016</v>
      </c>
      <c r="L13" s="647">
        <f>' FOCO INCREMENTO'!L16+' FOCO ESTIMACION'!L16</f>
        <v>218578.54857238056</v>
      </c>
      <c r="M13" s="647">
        <f>' FOCO INCREMENTO'!M16+' FOCO ESTIMACION'!M16</f>
        <v>235248.20032574958</v>
      </c>
      <c r="N13" s="647">
        <f>' FOCO INCREMENTO'!N16+' FOCO ESTIMACION'!N16</f>
        <v>244160.80753557186</v>
      </c>
      <c r="O13" s="648">
        <f t="shared" si="0"/>
        <v>2720710.9440795202</v>
      </c>
      <c r="P13" s="649"/>
      <c r="Q13" s="649"/>
    </row>
    <row r="14" spans="1:28" x14ac:dyDescent="0.2">
      <c r="A14" s="645" t="s">
        <v>156</v>
      </c>
      <c r="B14" s="657"/>
      <c r="C14" s="647">
        <f>' FOCO INCREMENTO'!C17+' FOCO ESTIMACION'!C17</f>
        <v>344090.85428542487</v>
      </c>
      <c r="D14" s="647">
        <f>' FOCO INCREMENTO'!D17+' FOCO ESTIMACION'!D17</f>
        <v>373724.76120914798</v>
      </c>
      <c r="E14" s="647">
        <f>' FOCO INCREMENTO'!E17+' FOCO ESTIMACION'!E17</f>
        <v>377306.59352286643</v>
      </c>
      <c r="F14" s="647">
        <f>' FOCO INCREMENTO'!F17+' FOCO ESTIMACION'!F17</f>
        <v>398642.89738761669</v>
      </c>
      <c r="G14" s="647">
        <f>' FOCO INCREMENTO'!G17+' FOCO ESTIMACION'!G17</f>
        <v>404096.08903082443</v>
      </c>
      <c r="H14" s="647">
        <f>' FOCO INCREMENTO'!H17+' FOCO ESTIMACION'!H17</f>
        <v>407535.93930229556</v>
      </c>
      <c r="I14" s="647">
        <f>' FOCO INCREMENTO'!I17+' FOCO ESTIMACION'!I17</f>
        <v>399371.33675633254</v>
      </c>
      <c r="J14" s="647">
        <f>' FOCO INCREMENTO'!J17+' FOCO ESTIMACION'!J17</f>
        <v>409773.58206253999</v>
      </c>
      <c r="K14" s="647">
        <f>' FOCO INCREMENTO'!K17+' FOCO ESTIMACION'!K17</f>
        <v>401401.64732925053</v>
      </c>
      <c r="L14" s="647">
        <f>' FOCO INCREMENTO'!L17+' FOCO ESTIMACION'!L17</f>
        <v>395007.81185541512</v>
      </c>
      <c r="M14" s="647">
        <f>' FOCO INCREMENTO'!M17+' FOCO ESTIMACION'!M17</f>
        <v>401842.35018784803</v>
      </c>
      <c r="N14" s="647">
        <f>' FOCO INCREMENTO'!N17+' FOCO ESTIMACION'!N17</f>
        <v>357231.77822607814</v>
      </c>
      <c r="O14" s="648">
        <f t="shared" si="0"/>
        <v>4670025.6411556415</v>
      </c>
      <c r="P14" s="649"/>
      <c r="Q14" s="649"/>
    </row>
    <row r="15" spans="1:28" x14ac:dyDescent="0.2">
      <c r="A15" s="645" t="s">
        <v>157</v>
      </c>
      <c r="B15" s="657"/>
      <c r="C15" s="647">
        <f>' FOCO INCREMENTO'!C18+' FOCO ESTIMACION'!C18</f>
        <v>198950.36429955735</v>
      </c>
      <c r="D15" s="647">
        <f>' FOCO INCREMENTO'!D18+' FOCO ESTIMACION'!D18</f>
        <v>226731.88492374931</v>
      </c>
      <c r="E15" s="647">
        <f>' FOCO INCREMENTO'!E18+' FOCO ESTIMACION'!E18</f>
        <v>211935.36183229522</v>
      </c>
      <c r="F15" s="647">
        <f>' FOCO INCREMENTO'!F18+' FOCO ESTIMACION'!F18</f>
        <v>238705.03547720175</v>
      </c>
      <c r="G15" s="647">
        <f>' FOCO INCREMENTO'!G18+' FOCO ESTIMACION'!G18</f>
        <v>234136.73727457665</v>
      </c>
      <c r="H15" s="647">
        <f>' FOCO INCREMENTO'!H18+' FOCO ESTIMACION'!H18</f>
        <v>243578.12437083543</v>
      </c>
      <c r="I15" s="647">
        <f>' FOCO INCREMENTO'!I18+' FOCO ESTIMACION'!I18</f>
        <v>230201.03569205676</v>
      </c>
      <c r="J15" s="647">
        <f>' FOCO INCREMENTO'!J18+' FOCO ESTIMACION'!J18</f>
        <v>241387.51139515004</v>
      </c>
      <c r="K15" s="647">
        <f>' FOCO INCREMENTO'!K18+' FOCO ESTIMACION'!K18</f>
        <v>240392.78875311042</v>
      </c>
      <c r="L15" s="647">
        <f>' FOCO INCREMENTO'!L18+' FOCO ESTIMACION'!L18</f>
        <v>226469.32702894148</v>
      </c>
      <c r="M15" s="647">
        <f>' FOCO INCREMENTO'!M18+' FOCO ESTIMACION'!M18</f>
        <v>238776.25289119646</v>
      </c>
      <c r="N15" s="647">
        <f>' FOCO INCREMENTO'!N18+' FOCO ESTIMACION'!N18</f>
        <v>235068.2802789277</v>
      </c>
      <c r="O15" s="648">
        <f t="shared" si="0"/>
        <v>2766332.7042175988</v>
      </c>
      <c r="P15" s="649"/>
      <c r="Q15" s="649"/>
    </row>
    <row r="16" spans="1:28" x14ac:dyDescent="0.2">
      <c r="A16" s="645" t="s">
        <v>158</v>
      </c>
      <c r="B16" s="657"/>
      <c r="C16" s="647">
        <f>' FOCO INCREMENTO'!C19+' FOCO ESTIMACION'!C19</f>
        <v>251809.07682773509</v>
      </c>
      <c r="D16" s="647">
        <f>' FOCO INCREMENTO'!D19+' FOCO ESTIMACION'!D19</f>
        <v>283070.64746906492</v>
      </c>
      <c r="E16" s="647">
        <f>' FOCO INCREMENTO'!E19+' FOCO ESTIMACION'!E19</f>
        <v>270523.02456114494</v>
      </c>
      <c r="F16" s="647">
        <f>' FOCO INCREMENTO'!F19+' FOCO ESTIMACION'!F19</f>
        <v>299116.83359332255</v>
      </c>
      <c r="G16" s="647">
        <f>' FOCO INCREMENTO'!G19+' FOCO ESTIMACION'!G19</f>
        <v>296163.82870853913</v>
      </c>
      <c r="H16" s="647">
        <f>' FOCO INCREMENTO'!H19+' FOCO ESTIMACION'!H19</f>
        <v>305383.12700591644</v>
      </c>
      <c r="I16" s="647">
        <f>' FOCO INCREMENTO'!I19+' FOCO ESTIMACION'!I19</f>
        <v>291623.55726811313</v>
      </c>
      <c r="J16" s="647">
        <f>' FOCO INCREMENTO'!J19+' FOCO ESTIMACION'!J19</f>
        <v>303887.15826057387</v>
      </c>
      <c r="K16" s="647">
        <f>' FOCO INCREMENTO'!K19+' FOCO ESTIMACION'!K19</f>
        <v>301219.04959191382</v>
      </c>
      <c r="L16" s="647">
        <f>' FOCO INCREMENTO'!L19+' FOCO ESTIMACION'!L19</f>
        <v>287343.25994552323</v>
      </c>
      <c r="M16" s="647">
        <f>' FOCO INCREMENTO'!M19+' FOCO ESTIMACION'!M19</f>
        <v>299858.67023963615</v>
      </c>
      <c r="N16" s="647">
        <f>' FOCO INCREMENTO'!N19+' FOCO ESTIMACION'!N19</f>
        <v>287073.54269321833</v>
      </c>
      <c r="O16" s="648">
        <f t="shared" si="0"/>
        <v>3477071.7761647017</v>
      </c>
      <c r="P16" s="649"/>
      <c r="Q16" s="649"/>
    </row>
    <row r="17" spans="1:17" x14ac:dyDescent="0.2">
      <c r="A17" s="645" t="s">
        <v>285</v>
      </c>
      <c r="B17" s="657"/>
      <c r="C17" s="647">
        <f>' FOCO INCREMENTO'!C20+' FOCO ESTIMACION'!C20</f>
        <v>136579.8571789519</v>
      </c>
      <c r="D17" s="647">
        <f>' FOCO INCREMENTO'!D20+' FOCO ESTIMACION'!D20</f>
        <v>185450.68315991267</v>
      </c>
      <c r="E17" s="647">
        <f>' FOCO INCREMENTO'!E20+' FOCO ESTIMACION'!E20</f>
        <v>128086.17200760447</v>
      </c>
      <c r="F17" s="647">
        <f>' FOCO INCREMENTO'!F20+' FOCO ESTIMACION'!F20</f>
        <v>186857.46088653107</v>
      </c>
      <c r="G17" s="647">
        <f>' FOCO INCREMENTO'!G20+' FOCO ESTIMACION'!G20</f>
        <v>162111.94529666312</v>
      </c>
      <c r="H17" s="647">
        <f>' FOCO INCREMENTO'!H20+' FOCO ESTIMACION'!H20</f>
        <v>189450.58776134352</v>
      </c>
      <c r="I17" s="647">
        <f>' FOCO INCREMENTO'!I20+' FOCO ESTIMACION'!I20</f>
        <v>156040.77961230991</v>
      </c>
      <c r="J17" s="647">
        <f>' FOCO INCREMENTO'!J20+' FOCO ESTIMACION'!J20</f>
        <v>178195.02885332814</v>
      </c>
      <c r="K17" s="647">
        <f>' FOCO INCREMENTO'!K20+' FOCO ESTIMACION'!K20</f>
        <v>188275.45434568875</v>
      </c>
      <c r="L17" s="647">
        <f>' FOCO INCREMENTO'!L20+' FOCO ESTIMACION'!L20</f>
        <v>150096.03818772611</v>
      </c>
      <c r="M17" s="647">
        <f>' FOCO INCREMENTO'!M20+' FOCO ESTIMACION'!M20</f>
        <v>181928.40909888904</v>
      </c>
      <c r="N17" s="647">
        <f>' FOCO INCREMENTO'!N20+' FOCO ESTIMACION'!N20</f>
        <v>241192.93765771773</v>
      </c>
      <c r="O17" s="648">
        <f t="shared" si="0"/>
        <v>2084265.3540466665</v>
      </c>
      <c r="P17" s="649"/>
      <c r="Q17" s="649"/>
    </row>
    <row r="18" spans="1:17" x14ac:dyDescent="0.2">
      <c r="A18" s="645" t="s">
        <v>286</v>
      </c>
      <c r="B18" s="657"/>
      <c r="C18" s="647">
        <f>' FOCO INCREMENTO'!C21+' FOCO ESTIMACION'!C21</f>
        <v>180889.41771991644</v>
      </c>
      <c r="D18" s="647">
        <f>' FOCO INCREMENTO'!D21+' FOCO ESTIMACION'!D21</f>
        <v>208523.10459719933</v>
      </c>
      <c r="E18" s="647">
        <f>' FOCO INCREMENTO'!E21+' FOCO ESTIMACION'!E21</f>
        <v>191308.65250391635</v>
      </c>
      <c r="F18" s="647">
        <f>' FOCO INCREMENTO'!F21+' FOCO ESTIMACION'!F21</f>
        <v>218866.50979887077</v>
      </c>
      <c r="G18" s="647">
        <f>' FOCO INCREMENTO'!G21+' FOCO ESTIMACION'!G21</f>
        <v>212991.20810315845</v>
      </c>
      <c r="H18" s="647">
        <f>' FOCO INCREMENTO'!H21+' FOCO ESTIMACION'!H21</f>
        <v>223237.27799527172</v>
      </c>
      <c r="I18" s="647">
        <f>' FOCO INCREMENTO'!I21+' FOCO ESTIMACION'!I21</f>
        <v>209144.34646551806</v>
      </c>
      <c r="J18" s="647">
        <f>' FOCO INCREMENTO'!J21+' FOCO ESTIMACION'!J21</f>
        <v>220468.56825758432</v>
      </c>
      <c r="K18" s="647">
        <f>' FOCO INCREMENTO'!K21+' FOCO ESTIMACION'!K21</f>
        <v>220421.71025534952</v>
      </c>
      <c r="L18" s="647">
        <f>' FOCO INCREMENTO'!L21+' FOCO ESTIMACION'!L21</f>
        <v>205481.87407623578</v>
      </c>
      <c r="M18" s="647">
        <f>' FOCO INCREMENTO'!M21+' FOCO ESTIMACION'!M21</f>
        <v>218534.64616267191</v>
      </c>
      <c r="N18" s="647">
        <f>' FOCO INCREMENTO'!N21+' FOCO ESTIMACION'!N21</f>
        <v>220087.98261895485</v>
      </c>
      <c r="O18" s="648">
        <f t="shared" si="0"/>
        <v>2529955.2985546477</v>
      </c>
      <c r="P18" s="649"/>
      <c r="Q18" s="649"/>
    </row>
    <row r="19" spans="1:17" x14ac:dyDescent="0.2">
      <c r="A19" s="645" t="s">
        <v>287</v>
      </c>
      <c r="B19" s="657"/>
      <c r="C19" s="647">
        <f>' FOCO INCREMENTO'!C22+' FOCO ESTIMACION'!C22</f>
        <v>595680.06244944874</v>
      </c>
      <c r="D19" s="647">
        <f>' FOCO INCREMENTO'!D22+' FOCO ESTIMACION'!D22</f>
        <v>651756.26106035942</v>
      </c>
      <c r="E19" s="647">
        <f>' FOCO INCREMENTO'!E22+' FOCO ESTIMACION'!E22</f>
        <v>650392.80245191173</v>
      </c>
      <c r="F19" s="647">
        <f>' FOCO INCREMENTO'!F22+' FOCO ESTIMACION'!F22</f>
        <v>693802.15188960743</v>
      </c>
      <c r="G19" s="647">
        <f>' FOCO INCREMENTO'!G22+' FOCO ESTIMACION'!G22</f>
        <v>699779.9526649008</v>
      </c>
      <c r="H19" s="647">
        <f>' FOCO INCREMENTO'!H22+' FOCO ESTIMACION'!H22</f>
        <v>709076.9877186449</v>
      </c>
      <c r="I19" s="647">
        <f>' FOCO INCREMENTO'!I22+' FOCO ESTIMACION'!I22</f>
        <v>691060.71526692575</v>
      </c>
      <c r="J19" s="647">
        <f>' FOCO INCREMENTO'!J22+' FOCO ESTIMACION'!J22</f>
        <v>711388.15343283792</v>
      </c>
      <c r="K19" s="647">
        <f>' FOCO INCREMENTO'!K22+' FOCO ESTIMACION'!K22</f>
        <v>698619.57625289145</v>
      </c>
      <c r="L19" s="647">
        <f>' FOCO INCREMENTO'!L22+' FOCO ESTIMACION'!L22</f>
        <v>682964.64218473365</v>
      </c>
      <c r="M19" s="647">
        <f>' FOCO INCREMENTO'!M22+' FOCO ESTIMACION'!M22</f>
        <v>698543.30415489594</v>
      </c>
      <c r="N19" s="647">
        <f>' FOCO INCREMENTO'!N22+' FOCO ESTIMACION'!N22</f>
        <v>631218.99806264415</v>
      </c>
      <c r="O19" s="648">
        <f t="shared" si="0"/>
        <v>8114283.6075898018</v>
      </c>
      <c r="P19" s="649"/>
      <c r="Q19" s="649"/>
    </row>
    <row r="20" spans="1:17" x14ac:dyDescent="0.2">
      <c r="A20" s="645" t="s">
        <v>162</v>
      </c>
      <c r="B20" s="657"/>
      <c r="C20" s="647">
        <f>' FOCO INCREMENTO'!C23+' FOCO ESTIMACION'!C23</f>
        <v>316706.53444607969</v>
      </c>
      <c r="D20" s="647">
        <f>' FOCO INCREMENTO'!D23+' FOCO ESTIMACION'!D23</f>
        <v>347055.28611866408</v>
      </c>
      <c r="E20" s="647">
        <f>' FOCO INCREMENTO'!E23+' FOCO ESTIMACION'!E23</f>
        <v>345483.47645451041</v>
      </c>
      <c r="F20" s="647">
        <f>' FOCO INCREMENTO'!F23+' FOCO ESTIMACION'!F23</f>
        <v>369287.69453583466</v>
      </c>
      <c r="G20" s="647">
        <f>' FOCO INCREMENTO'!G23+' FOCO ESTIMACION'!G23</f>
        <v>372078.24886522815</v>
      </c>
      <c r="H20" s="647">
        <f>' FOCO INCREMENTO'!H23+' FOCO ESTIMACION'!H23</f>
        <v>377395.40456316667</v>
      </c>
      <c r="I20" s="647">
        <f>' FOCO INCREMENTO'!I23+' FOCO ESTIMACION'!I23</f>
        <v>367382.02680970251</v>
      </c>
      <c r="J20" s="647">
        <f>' FOCO INCREMENTO'!J23+' FOCO ESTIMACION'!J23</f>
        <v>378449.23980976635</v>
      </c>
      <c r="K20" s="647">
        <f>' FOCO INCREMENTO'!K23+' FOCO ESTIMACION'!K23</f>
        <v>371853.63792484719</v>
      </c>
      <c r="L20" s="647">
        <f>' FOCO INCREMENTO'!L23+' FOCO ESTIMACION'!L23</f>
        <v>363016.87960492686</v>
      </c>
      <c r="M20" s="647">
        <f>' FOCO INCREMENTO'!M23+' FOCO ESTIMACION'!M23</f>
        <v>371719.12818824814</v>
      </c>
      <c r="N20" s="647">
        <f>' FOCO INCREMENTO'!N23+' FOCO ESTIMACION'!N23</f>
        <v>337033.54996662354</v>
      </c>
      <c r="O20" s="648">
        <f t="shared" si="0"/>
        <v>4317461.1072875988</v>
      </c>
      <c r="P20" s="649"/>
      <c r="Q20" s="649"/>
    </row>
    <row r="21" spans="1:17" x14ac:dyDescent="0.2">
      <c r="A21" s="645" t="s">
        <v>163</v>
      </c>
      <c r="B21" s="657"/>
      <c r="C21" s="647">
        <f>' FOCO INCREMENTO'!C24+' FOCO ESTIMACION'!C24</f>
        <v>2095651.8333260063</v>
      </c>
      <c r="D21" s="647">
        <f>' FOCO INCREMENTO'!D24+' FOCO ESTIMACION'!D24</f>
        <v>2330536.9555213223</v>
      </c>
      <c r="E21" s="647">
        <f>' FOCO INCREMENTO'!E24+' FOCO ESTIMACION'!E24</f>
        <v>2266167.9445996699</v>
      </c>
      <c r="F21" s="647">
        <f>' FOCO INCREMENTO'!F24+' FOCO ESTIMACION'!F24</f>
        <v>2469860.4802468787</v>
      </c>
      <c r="G21" s="647">
        <f>' FOCO INCREMENTO'!G24+' FOCO ESTIMACION'!G24</f>
        <v>2463621.0279525379</v>
      </c>
      <c r="H21" s="647">
        <f>' FOCO INCREMENTO'!H24+' FOCO ESTIMACION'!H24</f>
        <v>2522649.3084365982</v>
      </c>
      <c r="I21" s="647">
        <f>' FOCO INCREMENTO'!I24+' FOCO ESTIMACION'!I24</f>
        <v>2428694.1568545317</v>
      </c>
      <c r="J21" s="647">
        <f>' FOCO INCREMENTO'!J24+' FOCO ESTIMACION'!J24</f>
        <v>2518474.0668894053</v>
      </c>
      <c r="K21" s="647">
        <f>' FOCO INCREMENTO'!K24+' FOCO ESTIMACION'!K24</f>
        <v>2487135.8605083656</v>
      </c>
      <c r="L21" s="647">
        <f>' FOCO INCREMENTO'!L24+' FOCO ESTIMACION'!L24</f>
        <v>2395942.4451492215</v>
      </c>
      <c r="M21" s="647">
        <f>' FOCO INCREMENTO'!M24+' FOCO ESTIMACION'!M24</f>
        <v>2480258.3533563828</v>
      </c>
      <c r="N21" s="647">
        <f>' FOCO INCREMENTO'!N24+' FOCO ESTIMACION'!N24</f>
        <v>2321406.8053813037</v>
      </c>
      <c r="O21" s="648">
        <f t="shared" si="0"/>
        <v>28780399.238222227</v>
      </c>
      <c r="P21" s="649"/>
      <c r="Q21" s="649"/>
    </row>
    <row r="22" spans="1:17" x14ac:dyDescent="0.2">
      <c r="A22" s="645" t="s">
        <v>164</v>
      </c>
      <c r="B22" s="657"/>
      <c r="C22" s="647">
        <f>' FOCO INCREMENTO'!C25+' FOCO ESTIMACION'!C25</f>
        <v>208233.71923813276</v>
      </c>
      <c r="D22" s="647">
        <f>' FOCO INCREMENTO'!D25+' FOCO ESTIMACION'!D25</f>
        <v>236383.84859631531</v>
      </c>
      <c r="E22" s="647">
        <f>' FOCO INCREMENTO'!E25+' FOCO ESTIMACION'!E25</f>
        <v>222366.57818413415</v>
      </c>
      <c r="F22" s="647">
        <f>' FOCO INCREMENTO'!F25+' FOCO ESTIMACION'!F25</f>
        <v>249127.78937698234</v>
      </c>
      <c r="G22" s="647">
        <f>' FOCO INCREMENTO'!G25+' FOCO ESTIMACION'!G25</f>
        <v>245019.09031710771</v>
      </c>
      <c r="H22" s="647">
        <f>' FOCO INCREMENTO'!H25+' FOCO ESTIMACION'!H25</f>
        <v>254251.68475819318</v>
      </c>
      <c r="I22" s="647">
        <f>' FOCO INCREMENTO'!I25+' FOCO ESTIMACION'!I25</f>
        <v>241004.63855886227</v>
      </c>
      <c r="J22" s="647">
        <f>' FOCO INCREMENTO'!J25+' FOCO ESTIMACION'!J25</f>
        <v>252262.4533339779</v>
      </c>
      <c r="K22" s="647">
        <f>' FOCO INCREMENTO'!K25+' FOCO ESTIMACION'!K25</f>
        <v>250886.2217841456</v>
      </c>
      <c r="L22" s="647">
        <f>' FOCO INCREMENTO'!L25+' FOCO ESTIMACION'!L25</f>
        <v>237204.12231647156</v>
      </c>
      <c r="M22" s="647">
        <f>' FOCO INCREMENTO'!M25+' FOCO ESTIMACION'!M25</f>
        <v>249357.30798566452</v>
      </c>
      <c r="N22" s="647">
        <f>' FOCO INCREMENTO'!N25+' FOCO ESTIMACION'!N25</f>
        <v>243551.98532187488</v>
      </c>
      <c r="O22" s="648">
        <f t="shared" si="0"/>
        <v>2889649.4397718618</v>
      </c>
      <c r="P22" s="649"/>
      <c r="Q22" s="649"/>
    </row>
    <row r="23" spans="1:17" ht="13.5" thickBot="1" x14ac:dyDescent="0.25">
      <c r="A23" s="645" t="s">
        <v>165</v>
      </c>
      <c r="B23" s="658"/>
      <c r="C23" s="647">
        <f>' FOCO INCREMENTO'!C26+' FOCO ESTIMACION'!C26</f>
        <v>298152.17947210785</v>
      </c>
      <c r="D23" s="647">
        <f>' FOCO INCREMENTO'!D26+' FOCO ESTIMACION'!D26</f>
        <v>339048.66035429609</v>
      </c>
      <c r="E23" s="647">
        <f>' FOCO INCREMENTO'!E26+' FOCO ESTIMACION'!E26</f>
        <v>318042.74267028994</v>
      </c>
      <c r="F23" s="647">
        <f>' FOCO INCREMENTO'!F26+' FOCO ESTIMACION'!F26</f>
        <v>357160.57638189744</v>
      </c>
      <c r="G23" s="647">
        <f>' FOCO INCREMENTO'!G26+' FOCO ESTIMACION'!G26</f>
        <v>350849.3162280168</v>
      </c>
      <c r="H23" s="647">
        <f>' FOCO INCREMENTO'!H26+' FOCO ESTIMACION'!H26</f>
        <v>364482.13501231605</v>
      </c>
      <c r="I23" s="647">
        <f>' FOCO INCREMENTO'!I26+' FOCO ESTIMACION'!I26</f>
        <v>345034.57401057373</v>
      </c>
      <c r="J23" s="647">
        <f>' FOCO INCREMENTO'!J26+' FOCO ESTIMACION'!J26</f>
        <v>361440.61538273178</v>
      </c>
      <c r="K23" s="647">
        <f>' FOCO INCREMENTO'!K26+' FOCO ESTIMACION'!K26</f>
        <v>359683.46746374189</v>
      </c>
      <c r="L23" s="647">
        <f>' FOCO INCREMENTO'!L26+' FOCO ESTIMACION'!L26</f>
        <v>339525.87795457593</v>
      </c>
      <c r="M23" s="647">
        <f>' FOCO INCREMENTO'!M26+' FOCO ESTIMACION'!M26</f>
        <v>357390.52674650785</v>
      </c>
      <c r="N23" s="647">
        <f>' FOCO INCREMENTO'!N26+' FOCO ESTIMACION'!N26</f>
        <v>350303.64004901785</v>
      </c>
      <c r="O23" s="648">
        <f t="shared" si="0"/>
        <v>4141114.3117260737</v>
      </c>
      <c r="P23" s="649"/>
      <c r="Q23" s="649"/>
    </row>
    <row r="24" spans="1:17" ht="13.5" thickBot="1" x14ac:dyDescent="0.25">
      <c r="A24" s="650" t="s">
        <v>288</v>
      </c>
      <c r="B24" s="651">
        <f>SUM(B4:B23)</f>
        <v>0</v>
      </c>
      <c r="C24" s="652">
        <f>SUM(C4:C23)</f>
        <v>7502276.0250000004</v>
      </c>
      <c r="D24" s="652">
        <f t="shared" ref="D24:N24" si="1">SUM(D4:D23)</f>
        <v>8464996.125</v>
      </c>
      <c r="E24" s="652">
        <f t="shared" si="1"/>
        <v>8041528.7999999998</v>
      </c>
      <c r="F24" s="652">
        <f t="shared" si="1"/>
        <v>8935905.8250000011</v>
      </c>
      <c r="G24" s="652">
        <f t="shared" si="1"/>
        <v>8825206.9500000011</v>
      </c>
      <c r="H24" s="652">
        <f t="shared" si="1"/>
        <v>9121809.8250000011</v>
      </c>
      <c r="I24" s="652">
        <f t="shared" si="1"/>
        <v>8686394.0999999996</v>
      </c>
      <c r="J24" s="652">
        <f t="shared" si="1"/>
        <v>9066987.4499999993</v>
      </c>
      <c r="K24" s="652">
        <f t="shared" si="1"/>
        <v>8998810.875</v>
      </c>
      <c r="L24" s="652">
        <f t="shared" si="1"/>
        <v>8555312.4749999996</v>
      </c>
      <c r="M24" s="652">
        <f t="shared" si="1"/>
        <v>8952774.2999999989</v>
      </c>
      <c r="N24" s="652">
        <f t="shared" si="1"/>
        <v>8636843.0249999985</v>
      </c>
      <c r="O24" s="652">
        <f>SUM(C24:N24)</f>
        <v>103788845.77500001</v>
      </c>
    </row>
    <row r="25" spans="1:17" x14ac:dyDescent="0.2">
      <c r="A25" s="654" t="s">
        <v>289</v>
      </c>
      <c r="O25" s="649"/>
    </row>
    <row r="28" spans="1:17" x14ac:dyDescent="0.2">
      <c r="A28" s="949"/>
      <c r="B28" s="949"/>
      <c r="C28" s="950"/>
      <c r="D28" s="950"/>
      <c r="E28" s="950"/>
      <c r="F28" s="950"/>
      <c r="G28" s="950"/>
      <c r="H28" s="950"/>
      <c r="I28" s="950"/>
      <c r="J28" s="950"/>
      <c r="K28" s="950"/>
      <c r="L28" s="950"/>
      <c r="M28" s="950"/>
      <c r="N28" s="950"/>
      <c r="O28" s="950"/>
      <c r="P28" s="949"/>
    </row>
    <row r="29" spans="1:17" x14ac:dyDescent="0.2">
      <c r="A29" s="949"/>
      <c r="B29" s="949"/>
      <c r="C29" s="950"/>
      <c r="D29" s="950"/>
      <c r="E29" s="950"/>
      <c r="F29" s="950"/>
      <c r="G29" s="950"/>
      <c r="H29" s="950"/>
      <c r="I29" s="950"/>
      <c r="J29" s="950"/>
      <c r="K29" s="950"/>
      <c r="L29" s="950"/>
      <c r="M29" s="950"/>
      <c r="N29" s="950"/>
      <c r="O29" s="950"/>
      <c r="P29" s="949"/>
    </row>
    <row r="30" spans="1:17" x14ac:dyDescent="0.2">
      <c r="A30" s="949"/>
      <c r="B30" s="949"/>
      <c r="C30" s="950"/>
      <c r="D30" s="950"/>
      <c r="E30" s="950"/>
      <c r="F30" s="950"/>
      <c r="G30" s="950"/>
      <c r="H30" s="950"/>
      <c r="I30" s="950"/>
      <c r="J30" s="950"/>
      <c r="K30" s="950"/>
      <c r="L30" s="950"/>
      <c r="M30" s="950"/>
      <c r="N30" s="950"/>
      <c r="O30" s="950"/>
      <c r="P30" s="949"/>
    </row>
    <row r="31" spans="1:17" x14ac:dyDescent="0.2">
      <c r="A31" s="949"/>
      <c r="B31" s="949"/>
      <c r="C31" s="950"/>
      <c r="D31" s="950"/>
      <c r="E31" s="950"/>
      <c r="F31" s="950"/>
      <c r="G31" s="950"/>
      <c r="H31" s="950"/>
      <c r="I31" s="950"/>
      <c r="J31" s="950"/>
      <c r="K31" s="950"/>
      <c r="L31" s="950"/>
      <c r="M31" s="950"/>
      <c r="N31" s="950"/>
      <c r="O31" s="950"/>
      <c r="P31" s="949"/>
    </row>
    <row r="32" spans="1:17" x14ac:dyDescent="0.2">
      <c r="A32" s="949"/>
      <c r="B32" s="949"/>
      <c r="C32" s="950"/>
      <c r="D32" s="950"/>
      <c r="E32" s="950"/>
      <c r="F32" s="950"/>
      <c r="G32" s="950"/>
      <c r="H32" s="950"/>
      <c r="I32" s="950"/>
      <c r="J32" s="950"/>
      <c r="K32" s="950"/>
      <c r="L32" s="950"/>
      <c r="M32" s="950"/>
      <c r="N32" s="950"/>
      <c r="O32" s="950"/>
      <c r="P32" s="949"/>
    </row>
    <row r="33" spans="1:16" x14ac:dyDescent="0.2">
      <c r="A33" s="949"/>
      <c r="B33" s="949"/>
      <c r="C33" s="950"/>
      <c r="D33" s="950"/>
      <c r="E33" s="950"/>
      <c r="F33" s="950"/>
      <c r="G33" s="950"/>
      <c r="H33" s="950"/>
      <c r="I33" s="950"/>
      <c r="J33" s="950"/>
      <c r="K33" s="950"/>
      <c r="L33" s="950"/>
      <c r="M33" s="950"/>
      <c r="N33" s="950"/>
      <c r="O33" s="950"/>
      <c r="P33" s="949"/>
    </row>
    <row r="34" spans="1:16" x14ac:dyDescent="0.2">
      <c r="A34" s="949"/>
      <c r="B34" s="949"/>
      <c r="C34" s="950"/>
      <c r="D34" s="950"/>
      <c r="E34" s="950"/>
      <c r="F34" s="950"/>
      <c r="G34" s="950"/>
      <c r="H34" s="950"/>
      <c r="I34" s="950"/>
      <c r="J34" s="950"/>
      <c r="K34" s="950"/>
      <c r="L34" s="950"/>
      <c r="M34" s="950"/>
      <c r="N34" s="950"/>
      <c r="O34" s="950"/>
      <c r="P34" s="949"/>
    </row>
    <row r="35" spans="1:16" x14ac:dyDescent="0.2">
      <c r="A35" s="949"/>
      <c r="B35" s="949"/>
      <c r="C35" s="950"/>
      <c r="D35" s="950"/>
      <c r="E35" s="950"/>
      <c r="F35" s="950"/>
      <c r="G35" s="950"/>
      <c r="H35" s="950"/>
      <c r="I35" s="950"/>
      <c r="J35" s="950"/>
      <c r="K35" s="950"/>
      <c r="L35" s="950"/>
      <c r="M35" s="950"/>
      <c r="N35" s="950"/>
      <c r="O35" s="950"/>
      <c r="P35" s="949"/>
    </row>
    <row r="36" spans="1:16" x14ac:dyDescent="0.2">
      <c r="A36" s="949"/>
      <c r="B36" s="949"/>
      <c r="C36" s="950"/>
      <c r="D36" s="950"/>
      <c r="E36" s="950"/>
      <c r="F36" s="950"/>
      <c r="G36" s="950"/>
      <c r="H36" s="950"/>
      <c r="I36" s="950"/>
      <c r="J36" s="950"/>
      <c r="K36" s="950"/>
      <c r="L36" s="950"/>
      <c r="M36" s="950"/>
      <c r="N36" s="950"/>
      <c r="O36" s="950"/>
      <c r="P36" s="949"/>
    </row>
    <row r="37" spans="1:16" x14ac:dyDescent="0.2">
      <c r="A37" s="949"/>
      <c r="B37" s="949"/>
      <c r="C37" s="950"/>
      <c r="D37" s="950"/>
      <c r="E37" s="950"/>
      <c r="F37" s="950"/>
      <c r="G37" s="950"/>
      <c r="H37" s="950"/>
      <c r="I37" s="950"/>
      <c r="J37" s="950"/>
      <c r="K37" s="950"/>
      <c r="L37" s="950"/>
      <c r="M37" s="950"/>
      <c r="N37" s="950"/>
      <c r="O37" s="950"/>
      <c r="P37" s="949"/>
    </row>
    <row r="38" spans="1:16" x14ac:dyDescent="0.2">
      <c r="A38" s="949"/>
      <c r="B38" s="949"/>
      <c r="C38" s="950"/>
      <c r="D38" s="950"/>
      <c r="E38" s="950"/>
      <c r="F38" s="950"/>
      <c r="G38" s="950"/>
      <c r="H38" s="950"/>
      <c r="I38" s="950"/>
      <c r="J38" s="950"/>
      <c r="K38" s="950"/>
      <c r="L38" s="950"/>
      <c r="M38" s="950"/>
      <c r="N38" s="950"/>
      <c r="O38" s="950"/>
      <c r="P38" s="949"/>
    </row>
    <row r="39" spans="1:16" x14ac:dyDescent="0.2">
      <c r="A39" s="949"/>
      <c r="B39" s="949"/>
      <c r="C39" s="950"/>
      <c r="D39" s="950"/>
      <c r="E39" s="950"/>
      <c r="F39" s="950"/>
      <c r="G39" s="950"/>
      <c r="H39" s="950"/>
      <c r="I39" s="950"/>
      <c r="J39" s="950"/>
      <c r="K39" s="950"/>
      <c r="L39" s="950"/>
      <c r="M39" s="950"/>
      <c r="N39" s="950"/>
      <c r="O39" s="950"/>
      <c r="P39" s="949"/>
    </row>
    <row r="40" spans="1:16" x14ac:dyDescent="0.2">
      <c r="A40" s="949"/>
      <c r="B40" s="949"/>
      <c r="C40" s="950"/>
      <c r="D40" s="950"/>
      <c r="E40" s="950"/>
      <c r="F40" s="950"/>
      <c r="G40" s="950"/>
      <c r="H40" s="950"/>
      <c r="I40" s="950"/>
      <c r="J40" s="950"/>
      <c r="K40" s="950"/>
      <c r="L40" s="950"/>
      <c r="M40" s="950"/>
      <c r="N40" s="950"/>
      <c r="O40" s="950"/>
      <c r="P40" s="949"/>
    </row>
    <row r="41" spans="1:16" x14ac:dyDescent="0.2">
      <c r="A41" s="949"/>
      <c r="B41" s="949"/>
      <c r="C41" s="950"/>
      <c r="D41" s="950"/>
      <c r="E41" s="950"/>
      <c r="F41" s="950"/>
      <c r="G41" s="950"/>
      <c r="H41" s="950"/>
      <c r="I41" s="950"/>
      <c r="J41" s="950"/>
      <c r="K41" s="950"/>
      <c r="L41" s="950"/>
      <c r="M41" s="950"/>
      <c r="N41" s="950"/>
      <c r="O41" s="950"/>
      <c r="P41" s="949"/>
    </row>
    <row r="42" spans="1:16" x14ac:dyDescent="0.2">
      <c r="A42" s="949"/>
      <c r="B42" s="949"/>
      <c r="C42" s="950"/>
      <c r="D42" s="950"/>
      <c r="E42" s="950"/>
      <c r="F42" s="950"/>
      <c r="G42" s="950"/>
      <c r="H42" s="950"/>
      <c r="I42" s="950"/>
      <c r="J42" s="950"/>
      <c r="K42" s="950"/>
      <c r="L42" s="950"/>
      <c r="M42" s="950"/>
      <c r="N42" s="950"/>
      <c r="O42" s="950"/>
      <c r="P42" s="949"/>
    </row>
    <row r="43" spans="1:16" x14ac:dyDescent="0.2">
      <c r="A43" s="949"/>
      <c r="B43" s="949"/>
      <c r="C43" s="950"/>
      <c r="D43" s="950"/>
      <c r="E43" s="950"/>
      <c r="F43" s="950"/>
      <c r="G43" s="950"/>
      <c r="H43" s="950"/>
      <c r="I43" s="950"/>
      <c r="J43" s="950"/>
      <c r="K43" s="950"/>
      <c r="L43" s="950"/>
      <c r="M43" s="950"/>
      <c r="N43" s="950"/>
      <c r="O43" s="950"/>
      <c r="P43" s="949"/>
    </row>
    <row r="44" spans="1:16" x14ac:dyDescent="0.2">
      <c r="A44" s="949"/>
      <c r="B44" s="949"/>
      <c r="C44" s="950"/>
      <c r="D44" s="950"/>
      <c r="E44" s="950"/>
      <c r="F44" s="950"/>
      <c r="G44" s="950"/>
      <c r="H44" s="950"/>
      <c r="I44" s="950"/>
      <c r="J44" s="950"/>
      <c r="K44" s="950"/>
      <c r="L44" s="950"/>
      <c r="M44" s="950"/>
      <c r="N44" s="950"/>
      <c r="O44" s="950"/>
      <c r="P44" s="949"/>
    </row>
    <row r="45" spans="1:16" x14ac:dyDescent="0.2">
      <c r="A45" s="949"/>
      <c r="B45" s="949"/>
      <c r="C45" s="950"/>
      <c r="D45" s="950"/>
      <c r="E45" s="950"/>
      <c r="F45" s="950"/>
      <c r="G45" s="950"/>
      <c r="H45" s="950"/>
      <c r="I45" s="950"/>
      <c r="J45" s="950"/>
      <c r="K45" s="950"/>
      <c r="L45" s="950"/>
      <c r="M45" s="950"/>
      <c r="N45" s="950"/>
      <c r="O45" s="950"/>
      <c r="P45" s="949"/>
    </row>
    <row r="46" spans="1:16" x14ac:dyDescent="0.2">
      <c r="A46" s="949"/>
      <c r="B46" s="949"/>
      <c r="C46" s="950"/>
      <c r="D46" s="950"/>
      <c r="E46" s="950"/>
      <c r="F46" s="950"/>
      <c r="G46" s="950"/>
      <c r="H46" s="950"/>
      <c r="I46" s="950"/>
      <c r="J46" s="950"/>
      <c r="K46" s="950"/>
      <c r="L46" s="950"/>
      <c r="M46" s="950"/>
      <c r="N46" s="950"/>
      <c r="O46" s="950"/>
      <c r="P46" s="949"/>
    </row>
    <row r="47" spans="1:16" x14ac:dyDescent="0.2">
      <c r="A47" s="949"/>
      <c r="B47" s="949"/>
      <c r="C47" s="950"/>
      <c r="D47" s="950"/>
      <c r="E47" s="950"/>
      <c r="F47" s="950"/>
      <c r="G47" s="950"/>
      <c r="H47" s="950"/>
      <c r="I47" s="950"/>
      <c r="J47" s="950"/>
      <c r="K47" s="950"/>
      <c r="L47" s="950"/>
      <c r="M47" s="950"/>
      <c r="N47" s="950"/>
      <c r="O47" s="950"/>
      <c r="P47" s="949"/>
    </row>
    <row r="48" spans="1:16" x14ac:dyDescent="0.2">
      <c r="A48" s="949"/>
      <c r="B48" s="949"/>
      <c r="C48" s="949"/>
      <c r="D48" s="949"/>
      <c r="E48" s="949"/>
      <c r="F48" s="949"/>
      <c r="G48" s="949"/>
      <c r="H48" s="949"/>
      <c r="I48" s="949"/>
      <c r="J48" s="949"/>
      <c r="K48" s="949"/>
      <c r="L48" s="949"/>
      <c r="M48" s="949"/>
      <c r="N48" s="949"/>
      <c r="O48" s="949"/>
      <c r="P48" s="949"/>
    </row>
    <row r="49" spans="1:16" x14ac:dyDescent="0.2">
      <c r="A49" s="949"/>
      <c r="B49" s="949"/>
      <c r="C49" s="949"/>
      <c r="D49" s="949"/>
      <c r="E49" s="949"/>
      <c r="F49" s="949"/>
      <c r="G49" s="949"/>
      <c r="H49" s="949"/>
      <c r="I49" s="949"/>
      <c r="J49" s="949"/>
      <c r="K49" s="949"/>
      <c r="L49" s="949"/>
      <c r="M49" s="949"/>
      <c r="N49" s="949"/>
      <c r="O49" s="949"/>
      <c r="P49" s="949"/>
    </row>
    <row r="50" spans="1:16" x14ac:dyDescent="0.2">
      <c r="A50" s="949"/>
      <c r="B50" s="949"/>
      <c r="C50" s="757"/>
      <c r="D50" s="757"/>
      <c r="E50" s="757"/>
      <c r="F50" s="757"/>
      <c r="G50" s="757"/>
      <c r="H50" s="757"/>
      <c r="I50" s="757"/>
      <c r="J50" s="757"/>
      <c r="K50" s="757"/>
      <c r="L50" s="757"/>
      <c r="M50" s="757"/>
      <c r="N50" s="757"/>
      <c r="O50" s="757"/>
      <c r="P50" s="949"/>
    </row>
    <row r="51" spans="1:16" x14ac:dyDescent="0.2">
      <c r="A51" s="949"/>
      <c r="B51" s="949"/>
      <c r="C51" s="757"/>
      <c r="D51" s="757"/>
      <c r="E51" s="757"/>
      <c r="F51" s="757"/>
      <c r="G51" s="757"/>
      <c r="H51" s="757"/>
      <c r="I51" s="757"/>
      <c r="J51" s="757"/>
      <c r="K51" s="757"/>
      <c r="L51" s="757"/>
      <c r="M51" s="757"/>
      <c r="N51" s="757"/>
      <c r="O51" s="757"/>
      <c r="P51" s="949"/>
    </row>
    <row r="52" spans="1:16" x14ac:dyDescent="0.2">
      <c r="A52" s="949"/>
      <c r="B52" s="949"/>
      <c r="C52" s="757"/>
      <c r="D52" s="757"/>
      <c r="E52" s="757"/>
      <c r="F52" s="757"/>
      <c r="G52" s="757"/>
      <c r="H52" s="757"/>
      <c r="I52" s="757"/>
      <c r="J52" s="757"/>
      <c r="K52" s="757"/>
      <c r="L52" s="757"/>
      <c r="M52" s="757"/>
      <c r="N52" s="757"/>
      <c r="O52" s="757"/>
      <c r="P52" s="949"/>
    </row>
    <row r="53" spans="1:16" x14ac:dyDescent="0.2">
      <c r="A53" s="949"/>
      <c r="B53" s="949"/>
      <c r="C53" s="757"/>
      <c r="D53" s="757"/>
      <c r="E53" s="757"/>
      <c r="F53" s="757"/>
      <c r="G53" s="757"/>
      <c r="H53" s="757"/>
      <c r="I53" s="757"/>
      <c r="J53" s="757"/>
      <c r="K53" s="757"/>
      <c r="L53" s="757"/>
      <c r="M53" s="757"/>
      <c r="N53" s="757"/>
      <c r="O53" s="757"/>
      <c r="P53" s="949"/>
    </row>
    <row r="54" spans="1:16" x14ac:dyDescent="0.2">
      <c r="A54" s="949"/>
      <c r="B54" s="949"/>
      <c r="C54" s="757"/>
      <c r="D54" s="757"/>
      <c r="E54" s="757"/>
      <c r="F54" s="757"/>
      <c r="G54" s="757"/>
      <c r="H54" s="757"/>
      <c r="I54" s="757"/>
      <c r="J54" s="757"/>
      <c r="K54" s="757"/>
      <c r="L54" s="757"/>
      <c r="M54" s="757"/>
      <c r="N54" s="757"/>
      <c r="O54" s="757"/>
      <c r="P54" s="949"/>
    </row>
    <row r="55" spans="1:16" x14ac:dyDescent="0.2">
      <c r="A55" s="949"/>
      <c r="B55" s="949"/>
      <c r="C55" s="757"/>
      <c r="D55" s="757"/>
      <c r="E55" s="757"/>
      <c r="F55" s="757"/>
      <c r="G55" s="757"/>
      <c r="H55" s="757"/>
      <c r="I55" s="757"/>
      <c r="J55" s="757"/>
      <c r="K55" s="757"/>
      <c r="L55" s="757"/>
      <c r="M55" s="757"/>
      <c r="N55" s="757"/>
      <c r="O55" s="757"/>
      <c r="P55" s="949"/>
    </row>
    <row r="56" spans="1:16" x14ac:dyDescent="0.2">
      <c r="A56" s="949"/>
      <c r="B56" s="949"/>
      <c r="C56" s="757"/>
      <c r="D56" s="757"/>
      <c r="E56" s="757"/>
      <c r="F56" s="757"/>
      <c r="G56" s="757"/>
      <c r="H56" s="757"/>
      <c r="I56" s="757"/>
      <c r="J56" s="757"/>
      <c r="K56" s="757"/>
      <c r="L56" s="757"/>
      <c r="M56" s="757"/>
      <c r="N56" s="757"/>
      <c r="O56" s="757"/>
      <c r="P56" s="949"/>
    </row>
    <row r="57" spans="1:16" x14ac:dyDescent="0.2">
      <c r="A57" s="949"/>
      <c r="B57" s="949"/>
      <c r="C57" s="757"/>
      <c r="D57" s="757"/>
      <c r="E57" s="757"/>
      <c r="F57" s="757"/>
      <c r="G57" s="757"/>
      <c r="H57" s="757"/>
      <c r="I57" s="757"/>
      <c r="J57" s="757"/>
      <c r="K57" s="757"/>
      <c r="L57" s="757"/>
      <c r="M57" s="757"/>
      <c r="N57" s="757"/>
      <c r="O57" s="757"/>
      <c r="P57" s="949"/>
    </row>
    <row r="58" spans="1:16" x14ac:dyDescent="0.2">
      <c r="A58" s="949"/>
      <c r="B58" s="949"/>
      <c r="C58" s="757"/>
      <c r="D58" s="757"/>
      <c r="E58" s="757"/>
      <c r="F58" s="757"/>
      <c r="G58" s="757"/>
      <c r="H58" s="757"/>
      <c r="I58" s="757"/>
      <c r="J58" s="757"/>
      <c r="K58" s="757"/>
      <c r="L58" s="757"/>
      <c r="M58" s="757"/>
      <c r="N58" s="757"/>
      <c r="O58" s="757"/>
      <c r="P58" s="949"/>
    </row>
    <row r="59" spans="1:16" x14ac:dyDescent="0.2">
      <c r="A59" s="949"/>
      <c r="B59" s="949"/>
      <c r="C59" s="757"/>
      <c r="D59" s="757"/>
      <c r="E59" s="757"/>
      <c r="F59" s="757"/>
      <c r="G59" s="757"/>
      <c r="H59" s="757"/>
      <c r="I59" s="757"/>
      <c r="J59" s="757"/>
      <c r="K59" s="757"/>
      <c r="L59" s="757"/>
      <c r="M59" s="757"/>
      <c r="N59" s="757"/>
      <c r="O59" s="757"/>
      <c r="P59" s="949"/>
    </row>
    <row r="60" spans="1:16" x14ac:dyDescent="0.2">
      <c r="A60" s="949"/>
      <c r="B60" s="949"/>
      <c r="C60" s="757"/>
      <c r="D60" s="757"/>
      <c r="E60" s="757"/>
      <c r="F60" s="757"/>
      <c r="G60" s="757"/>
      <c r="H60" s="757"/>
      <c r="I60" s="757"/>
      <c r="J60" s="757"/>
      <c r="K60" s="757"/>
      <c r="L60" s="757"/>
      <c r="M60" s="757"/>
      <c r="N60" s="757"/>
      <c r="O60" s="757"/>
      <c r="P60" s="949"/>
    </row>
    <row r="61" spans="1:16" x14ac:dyDescent="0.2">
      <c r="A61" s="949"/>
      <c r="B61" s="949"/>
      <c r="C61" s="757"/>
      <c r="D61" s="757"/>
      <c r="E61" s="757"/>
      <c r="F61" s="757"/>
      <c r="G61" s="757"/>
      <c r="H61" s="757"/>
      <c r="I61" s="757"/>
      <c r="J61" s="757"/>
      <c r="K61" s="757"/>
      <c r="L61" s="757"/>
      <c r="M61" s="757"/>
      <c r="N61" s="757"/>
      <c r="O61" s="757"/>
      <c r="P61" s="949"/>
    </row>
    <row r="62" spans="1:16" x14ac:dyDescent="0.2">
      <c r="A62" s="949"/>
      <c r="B62" s="949"/>
      <c r="C62" s="757"/>
      <c r="D62" s="757"/>
      <c r="E62" s="757"/>
      <c r="F62" s="757"/>
      <c r="G62" s="757"/>
      <c r="H62" s="757"/>
      <c r="I62" s="757"/>
      <c r="J62" s="757"/>
      <c r="K62" s="757"/>
      <c r="L62" s="757"/>
      <c r="M62" s="757"/>
      <c r="N62" s="757"/>
      <c r="O62" s="757"/>
      <c r="P62" s="949"/>
    </row>
    <row r="63" spans="1:16" x14ac:dyDescent="0.2">
      <c r="A63" s="949"/>
      <c r="B63" s="949"/>
      <c r="C63" s="757"/>
      <c r="D63" s="757"/>
      <c r="E63" s="757"/>
      <c r="F63" s="757"/>
      <c r="G63" s="757"/>
      <c r="H63" s="757"/>
      <c r="I63" s="757"/>
      <c r="J63" s="757"/>
      <c r="K63" s="757"/>
      <c r="L63" s="757"/>
      <c r="M63" s="757"/>
      <c r="N63" s="757"/>
      <c r="O63" s="757"/>
      <c r="P63" s="949"/>
    </row>
    <row r="64" spans="1:16" x14ac:dyDescent="0.2">
      <c r="A64" s="949"/>
      <c r="B64" s="949"/>
      <c r="C64" s="757"/>
      <c r="D64" s="757"/>
      <c r="E64" s="757"/>
      <c r="F64" s="757"/>
      <c r="G64" s="757"/>
      <c r="H64" s="757"/>
      <c r="I64" s="757"/>
      <c r="J64" s="757"/>
      <c r="K64" s="757"/>
      <c r="L64" s="757"/>
      <c r="M64" s="757"/>
      <c r="N64" s="757"/>
      <c r="O64" s="757"/>
      <c r="P64" s="949"/>
    </row>
    <row r="65" spans="1:16" x14ac:dyDescent="0.2">
      <c r="A65" s="949"/>
      <c r="B65" s="949"/>
      <c r="C65" s="757"/>
      <c r="D65" s="757"/>
      <c r="E65" s="757"/>
      <c r="F65" s="757"/>
      <c r="G65" s="757"/>
      <c r="H65" s="757"/>
      <c r="I65" s="757"/>
      <c r="J65" s="757"/>
      <c r="K65" s="757"/>
      <c r="L65" s="757"/>
      <c r="M65" s="757"/>
      <c r="N65" s="757"/>
      <c r="O65" s="757"/>
      <c r="P65" s="949"/>
    </row>
    <row r="66" spans="1:16" x14ac:dyDescent="0.2">
      <c r="A66" s="949"/>
      <c r="B66" s="949"/>
      <c r="C66" s="757"/>
      <c r="D66" s="757"/>
      <c r="E66" s="757"/>
      <c r="F66" s="757"/>
      <c r="G66" s="757"/>
      <c r="H66" s="757"/>
      <c r="I66" s="757"/>
      <c r="J66" s="757"/>
      <c r="K66" s="757"/>
      <c r="L66" s="757"/>
      <c r="M66" s="757"/>
      <c r="N66" s="757"/>
      <c r="O66" s="757"/>
      <c r="P66" s="949"/>
    </row>
    <row r="67" spans="1:16" x14ac:dyDescent="0.2">
      <c r="A67" s="949"/>
      <c r="B67" s="949"/>
      <c r="C67" s="757"/>
      <c r="D67" s="757"/>
      <c r="E67" s="757"/>
      <c r="F67" s="757"/>
      <c r="G67" s="757"/>
      <c r="H67" s="757"/>
      <c r="I67" s="757"/>
      <c r="J67" s="757"/>
      <c r="K67" s="757"/>
      <c r="L67" s="757"/>
      <c r="M67" s="757"/>
      <c r="N67" s="757"/>
      <c r="O67" s="757"/>
      <c r="P67" s="949"/>
    </row>
    <row r="68" spans="1:16" x14ac:dyDescent="0.2">
      <c r="A68" s="949"/>
      <c r="B68" s="949"/>
      <c r="C68" s="757"/>
      <c r="D68" s="757"/>
      <c r="E68" s="757"/>
      <c r="F68" s="757"/>
      <c r="G68" s="757"/>
      <c r="H68" s="757"/>
      <c r="I68" s="757"/>
      <c r="J68" s="757"/>
      <c r="K68" s="757"/>
      <c r="L68" s="757"/>
      <c r="M68" s="757"/>
      <c r="N68" s="757"/>
      <c r="O68" s="757"/>
      <c r="P68" s="949"/>
    </row>
    <row r="69" spans="1:16" x14ac:dyDescent="0.2">
      <c r="A69" s="949"/>
      <c r="B69" s="949"/>
      <c r="C69" s="757"/>
      <c r="D69" s="757"/>
      <c r="E69" s="757"/>
      <c r="F69" s="757"/>
      <c r="G69" s="757"/>
      <c r="H69" s="757"/>
      <c r="I69" s="757"/>
      <c r="J69" s="757"/>
      <c r="K69" s="757"/>
      <c r="L69" s="757"/>
      <c r="M69" s="757"/>
      <c r="N69" s="757"/>
      <c r="O69" s="757"/>
      <c r="P69" s="949"/>
    </row>
    <row r="70" spans="1:16" x14ac:dyDescent="0.2">
      <c r="A70" s="949"/>
      <c r="B70" s="949"/>
      <c r="C70" s="757"/>
      <c r="D70" s="757"/>
      <c r="E70" s="757"/>
      <c r="F70" s="757"/>
      <c r="G70" s="757"/>
      <c r="H70" s="757"/>
      <c r="I70" s="757"/>
      <c r="J70" s="757"/>
      <c r="K70" s="757"/>
      <c r="L70" s="757"/>
      <c r="M70" s="757"/>
      <c r="N70" s="757"/>
      <c r="O70" s="757"/>
      <c r="P70" s="949"/>
    </row>
    <row r="71" spans="1:16" x14ac:dyDescent="0.2">
      <c r="A71" s="949"/>
      <c r="B71" s="949"/>
      <c r="C71" s="757"/>
      <c r="D71" s="757"/>
      <c r="E71" s="757"/>
      <c r="F71" s="757"/>
      <c r="G71" s="757"/>
      <c r="H71" s="757"/>
      <c r="I71" s="757"/>
      <c r="J71" s="757"/>
      <c r="K71" s="757"/>
      <c r="L71" s="757"/>
      <c r="M71" s="757"/>
      <c r="N71" s="757"/>
      <c r="O71" s="757"/>
      <c r="P71" s="949"/>
    </row>
    <row r="72" spans="1:16" x14ac:dyDescent="0.2">
      <c r="A72" s="949"/>
      <c r="B72" s="949"/>
      <c r="C72" s="757"/>
      <c r="D72" s="757"/>
      <c r="E72" s="757"/>
      <c r="F72" s="757"/>
      <c r="G72" s="757"/>
      <c r="H72" s="757"/>
      <c r="I72" s="757"/>
      <c r="J72" s="757"/>
      <c r="K72" s="757"/>
      <c r="L72" s="757"/>
      <c r="M72" s="757"/>
      <c r="N72" s="757"/>
      <c r="O72" s="757"/>
      <c r="P72" s="949"/>
    </row>
  </sheetData>
  <mergeCells count="1">
    <mergeCell ref="A1:O1"/>
  </mergeCells>
  <printOptions horizontalCentered="1"/>
  <pageMargins left="0.78740157480314965" right="0.78740157480314965" top="0.98425196850393704" bottom="0.98425196850393704" header="0" footer="0"/>
  <pageSetup paperSize="5" scale="9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O35"/>
  <sheetViews>
    <sheetView workbookViewId="0">
      <selection sqref="A1:O1"/>
    </sheetView>
  </sheetViews>
  <sheetFormatPr baseColWidth="10" defaultRowHeight="12.75" x14ac:dyDescent="0.2"/>
  <cols>
    <col min="1" max="1" width="16.85546875" style="640" customWidth="1"/>
    <col min="2" max="2" width="9.28515625" style="640" hidden="1" customWidth="1"/>
    <col min="3" max="15" width="9.7109375" style="640" customWidth="1"/>
    <col min="16" max="16384" width="11.42578125" style="640"/>
  </cols>
  <sheetData>
    <row r="1" spans="1:15" x14ac:dyDescent="0.2">
      <c r="A1" s="1237" t="s">
        <v>428</v>
      </c>
      <c r="B1" s="1237"/>
      <c r="C1" s="1237"/>
      <c r="D1" s="1237"/>
      <c r="E1" s="1237"/>
      <c r="F1" s="1237"/>
      <c r="G1" s="1237"/>
      <c r="H1" s="1237"/>
      <c r="I1" s="1237"/>
      <c r="J1" s="1237"/>
      <c r="K1" s="1237"/>
      <c r="L1" s="1237"/>
      <c r="M1" s="1237"/>
      <c r="N1" s="1237"/>
      <c r="O1" s="1237"/>
    </row>
    <row r="2" spans="1:15" ht="13.5" thickBot="1" x14ac:dyDescent="0.25"/>
    <row r="3" spans="1:15" ht="23.25" thickBot="1" x14ac:dyDescent="0.25">
      <c r="A3" s="641" t="s">
        <v>348</v>
      </c>
      <c r="B3" s="642" t="s">
        <v>281</v>
      </c>
      <c r="C3" s="641" t="s">
        <v>1</v>
      </c>
      <c r="D3" s="643" t="s">
        <v>2</v>
      </c>
      <c r="E3" s="641" t="s">
        <v>3</v>
      </c>
      <c r="F3" s="643" t="s">
        <v>4</v>
      </c>
      <c r="G3" s="641" t="s">
        <v>5</v>
      </c>
      <c r="H3" s="641" t="s">
        <v>6</v>
      </c>
      <c r="I3" s="641" t="s">
        <v>7</v>
      </c>
      <c r="J3" s="643" t="s">
        <v>8</v>
      </c>
      <c r="K3" s="641" t="s">
        <v>9</v>
      </c>
      <c r="L3" s="643" t="s">
        <v>10</v>
      </c>
      <c r="M3" s="641" t="s">
        <v>11</v>
      </c>
      <c r="N3" s="641" t="s">
        <v>12</v>
      </c>
      <c r="O3" s="644" t="s">
        <v>168</v>
      </c>
    </row>
    <row r="4" spans="1:15" x14ac:dyDescent="0.2">
      <c r="A4" s="645" t="s">
        <v>282</v>
      </c>
      <c r="B4" s="656"/>
      <c r="C4" s="647">
        <f>'IEPS INCREMENTO'!C7+'IEPS ESTIMACIONES'!C7</f>
        <v>88666.152276097768</v>
      </c>
      <c r="D4" s="647">
        <f>'IEPS INCREMENTO'!D7+'IEPS ESTIMACIONES'!D7</f>
        <v>202778.59745226314</v>
      </c>
      <c r="E4" s="647">
        <f>'IEPS INCREMENTO'!E7+'IEPS ESTIMACIONES'!E7</f>
        <v>85132.154412528587</v>
      </c>
      <c r="F4" s="647">
        <f>'IEPS INCREMENTO'!F7+'IEPS ESTIMACIONES'!F7</f>
        <v>75537.054240197584</v>
      </c>
      <c r="G4" s="647">
        <f>'IEPS INCREMENTO'!G7+'IEPS ESTIMACIONES'!G7</f>
        <v>88542.249762908366</v>
      </c>
      <c r="H4" s="647">
        <f>'IEPS INCREMENTO'!H7+'IEPS ESTIMACIONES'!H7</f>
        <v>93824.626680842281</v>
      </c>
      <c r="I4" s="647">
        <f>'IEPS INCREMENTO'!I7+'IEPS ESTIMACIONES'!I7</f>
        <v>98992.04249258223</v>
      </c>
      <c r="J4" s="647">
        <f>'IEPS INCREMENTO'!J7+'IEPS ESTIMACIONES'!J7</f>
        <v>107069.91385448369</v>
      </c>
      <c r="K4" s="647">
        <f>'IEPS INCREMENTO'!K7+'IEPS ESTIMACIONES'!K7</f>
        <v>111371.00772185085</v>
      </c>
      <c r="L4" s="647">
        <f>'IEPS INCREMENTO'!L7+'IEPS ESTIMACIONES'!L7</f>
        <v>100446.72363039013</v>
      </c>
      <c r="M4" s="647">
        <f>'IEPS INCREMENTO'!M7+'IEPS ESTIMACIONES'!M7</f>
        <v>93197.856962272839</v>
      </c>
      <c r="N4" s="647">
        <f>'IEPS INCREMENTO'!N7+'IEPS ESTIMACIONES'!N7</f>
        <v>94491.388013582444</v>
      </c>
      <c r="O4" s="648">
        <f>SUM(C4:N4)</f>
        <v>1240049.7675000001</v>
      </c>
    </row>
    <row r="5" spans="1:15" x14ac:dyDescent="0.2">
      <c r="A5" s="645" t="s">
        <v>147</v>
      </c>
      <c r="B5" s="657"/>
      <c r="C5" s="647">
        <f>'IEPS INCREMENTO'!C8+'IEPS ESTIMACIONES'!C8</f>
        <v>115268.417857301</v>
      </c>
      <c r="D5" s="647">
        <f>'IEPS INCREMENTO'!D8+'IEPS ESTIMACIONES'!D8</f>
        <v>243364.46620335343</v>
      </c>
      <c r="E5" s="647">
        <f>'IEPS INCREMENTO'!E8+'IEPS ESTIMACIONES'!E8</f>
        <v>113033.95484855543</v>
      </c>
      <c r="F5" s="647">
        <f>'IEPS INCREMENTO'!F8+'IEPS ESTIMACIONES'!F8</f>
        <v>107231.74672796066</v>
      </c>
      <c r="G5" s="647">
        <f>'IEPS INCREMENTO'!G8+'IEPS ESTIMACIONES'!G8</f>
        <v>118739.15428114432</v>
      </c>
      <c r="H5" s="647">
        <f>'IEPS INCREMENTO'!H8+'IEPS ESTIMACIONES'!H8</f>
        <v>125394.15189221012</v>
      </c>
      <c r="I5" s="647">
        <f>'IEPS INCREMENTO'!I8+'IEPS ESTIMACIONES'!I8</f>
        <v>131073.69047043149</v>
      </c>
      <c r="J5" s="647">
        <f>'IEPS INCREMENTO'!J8+'IEPS ESTIMACIONES'!J8</f>
        <v>140353.00388994568</v>
      </c>
      <c r="K5" s="647">
        <f>'IEPS INCREMENTO'!K8+'IEPS ESTIMACIONES'!K8</f>
        <v>143570.69304207529</v>
      </c>
      <c r="L5" s="647">
        <f>'IEPS INCREMENTO'!L8+'IEPS ESTIMACIONES'!L8</f>
        <v>131918.8264831627</v>
      </c>
      <c r="M5" s="647">
        <f>'IEPS INCREMENTO'!M8+'IEPS ESTIMACIONES'!M8</f>
        <v>123955.01130162575</v>
      </c>
      <c r="N5" s="647">
        <f>'IEPS INCREMENTO'!N8+'IEPS ESTIMACIONES'!N8</f>
        <v>125370.65050223413</v>
      </c>
      <c r="O5" s="648">
        <f t="shared" ref="O5:O23" si="0">SUM(C5:N5)</f>
        <v>1619273.7674999998</v>
      </c>
    </row>
    <row r="6" spans="1:15" x14ac:dyDescent="0.2">
      <c r="A6" s="645" t="s">
        <v>148</v>
      </c>
      <c r="B6" s="657"/>
      <c r="C6" s="647">
        <f>'IEPS INCREMENTO'!C9+'IEPS ESTIMACIONES'!C9</f>
        <v>120184.0538886103</v>
      </c>
      <c r="D6" s="647">
        <f>'IEPS INCREMENTO'!D9+'IEPS ESTIMACIONES'!D9</f>
        <v>250864.02890735923</v>
      </c>
      <c r="E6" s="647">
        <f>'IEPS INCREMENTO'!E9+'IEPS ESTIMACIONES'!E9</f>
        <v>118189.72232042995</v>
      </c>
      <c r="F6" s="647">
        <f>'IEPS INCREMENTO'!F9+'IEPS ESTIMACIONES'!F9</f>
        <v>113088.37468765602</v>
      </c>
      <c r="G6" s="647">
        <f>'IEPS INCREMENTO'!G9+'IEPS ESTIMACIONES'!G9</f>
        <v>124319.01707255749</v>
      </c>
      <c r="H6" s="647">
        <f>'IEPS INCREMENTO'!H9+'IEPS ESTIMACIONES'!H9</f>
        <v>131227.65111604982</v>
      </c>
      <c r="I6" s="647">
        <f>'IEPS INCREMENTO'!I9+'IEPS ESTIMACIONES'!I9</f>
        <v>137001.82107503409</v>
      </c>
      <c r="J6" s="647">
        <f>'IEPS INCREMENTO'!J9+'IEPS ESTIMACIONES'!J9</f>
        <v>146503.1400921506</v>
      </c>
      <c r="K6" s="647">
        <f>'IEPS INCREMENTO'!K9+'IEPS ESTIMACIONES'!K9</f>
        <v>149520.63489472546</v>
      </c>
      <c r="L6" s="647">
        <f>'IEPS INCREMENTO'!L9+'IEPS ESTIMACIONES'!L9</f>
        <v>137734.32374943589</v>
      </c>
      <c r="M6" s="647">
        <f>'IEPS INCREMENTO'!M9+'IEPS ESTIMACIONES'!M9</f>
        <v>129638.39851650619</v>
      </c>
      <c r="N6" s="647">
        <f>'IEPS INCREMENTO'!N9+'IEPS ESTIMACIONES'!N9</f>
        <v>131076.60117948498</v>
      </c>
      <c r="O6" s="648">
        <f t="shared" si="0"/>
        <v>1689347.7675000001</v>
      </c>
    </row>
    <row r="7" spans="1:15" x14ac:dyDescent="0.2">
      <c r="A7" s="645" t="s">
        <v>283</v>
      </c>
      <c r="B7" s="657"/>
      <c r="C7" s="647">
        <f>'IEPS INCREMENTO'!C10+'IEPS ESTIMACIONES'!C10</f>
        <v>105147.99073401716</v>
      </c>
      <c r="D7" s="647">
        <f>'IEPS INCREMENTO'!D10+'IEPS ESTIMACIONES'!D10</f>
        <v>227924.19004804734</v>
      </c>
      <c r="E7" s="647">
        <f>'IEPS INCREMENTO'!E10+'IEPS ESTIMACIONES'!E10</f>
        <v>102419.13946528434</v>
      </c>
      <c r="F7" s="647">
        <f>'IEPS INCREMENTO'!F10+'IEPS ESTIMACIONES'!F10</f>
        <v>95173.983281529057</v>
      </c>
      <c r="G7" s="647">
        <f>'IEPS INCREMENTO'!G10+'IEPS ESTIMACIONES'!G10</f>
        <v>107251.2014752937</v>
      </c>
      <c r="H7" s="647">
        <f>'IEPS INCREMENTO'!H10+'IEPS ESTIMACIONES'!H10</f>
        <v>113384.00643136367</v>
      </c>
      <c r="I7" s="647">
        <f>'IEPS INCREMENTO'!I10+'IEPS ESTIMACIONES'!I10</f>
        <v>118868.71569624971</v>
      </c>
      <c r="J7" s="647">
        <f>'IEPS INCREMENTO'!J10+'IEPS ESTIMACIONES'!J10</f>
        <v>127690.95876775906</v>
      </c>
      <c r="K7" s="647">
        <f>'IEPS INCREMENTO'!K10+'IEPS ESTIMACIONES'!K10</f>
        <v>131320.81275720731</v>
      </c>
      <c r="L7" s="647">
        <f>'IEPS INCREMENTO'!L10+'IEPS ESTIMACIONES'!L10</f>
        <v>119945.74387612965</v>
      </c>
      <c r="M7" s="647">
        <f>'IEPS INCREMENTO'!M10+'IEPS ESTIMACIONES'!M10</f>
        <v>112253.91997687193</v>
      </c>
      <c r="N7" s="647">
        <f>'IEPS INCREMENTO'!N10+'IEPS ESTIMACIONES'!N10</f>
        <v>113623.10499024708</v>
      </c>
      <c r="O7" s="648">
        <f t="shared" si="0"/>
        <v>1475003.7675000001</v>
      </c>
    </row>
    <row r="8" spans="1:15" x14ac:dyDescent="0.2">
      <c r="A8" s="645" t="s">
        <v>150</v>
      </c>
      <c r="B8" s="657"/>
      <c r="C8" s="647">
        <f>'IEPS INCREMENTO'!C11+'IEPS ESTIMACIONES'!C11</f>
        <v>76087.907137159287</v>
      </c>
      <c r="D8" s="647">
        <f>'IEPS INCREMENTO'!D11+'IEPS ESTIMACIONES'!D11</f>
        <v>183588.53994495416</v>
      </c>
      <c r="E8" s="647">
        <f>'IEPS INCREMENTO'!E11+'IEPS ESTIMACIONES'!E11</f>
        <v>71939.455293320236</v>
      </c>
      <c r="F8" s="647">
        <f>'IEPS INCREMENTO'!F11+'IEPS ESTIMACIONES'!F11</f>
        <v>60550.976813918314</v>
      </c>
      <c r="G8" s="647">
        <f>'IEPS INCREMENTO'!G11+'IEPS ESTIMACIONES'!G11</f>
        <v>74264.365561351151</v>
      </c>
      <c r="H8" s="647">
        <f>'IEPS INCREMENTO'!H11+'IEPS ESTIMACIONES'!H11</f>
        <v>78897.731608075963</v>
      </c>
      <c r="I8" s="647">
        <f>'IEPS INCREMENTO'!I11+'IEPS ESTIMACIONES'!I11</f>
        <v>83823.00241609916</v>
      </c>
      <c r="J8" s="647">
        <f>'IEPS INCREMENTO'!J11+'IEPS ESTIMACIONES'!J11</f>
        <v>91332.800631194608</v>
      </c>
      <c r="K8" s="647">
        <f>'IEPS INCREMENTO'!K11+'IEPS ESTIMACIONES'!K11</f>
        <v>96146.156510657805</v>
      </c>
      <c r="L8" s="647">
        <f>'IEPS INCREMENTO'!L11+'IEPS ESTIMACIONES'!L11</f>
        <v>85565.892390220499</v>
      </c>
      <c r="M8" s="647">
        <f>'IEPS INCREMENTO'!M11+'IEPS ESTIMACIONES'!M11</f>
        <v>78655.072030078809</v>
      </c>
      <c r="N8" s="647">
        <f>'IEPS INCREMENTO'!N11+'IEPS ESTIMACIONES'!N11</f>
        <v>79890.867162969982</v>
      </c>
      <c r="O8" s="648">
        <f t="shared" si="0"/>
        <v>1060742.7675000003</v>
      </c>
    </row>
    <row r="9" spans="1:15" x14ac:dyDescent="0.2">
      <c r="A9" s="645" t="s">
        <v>284</v>
      </c>
      <c r="B9" s="657"/>
      <c r="C9" s="647">
        <f>'IEPS INCREMENTO'!C12+'IEPS ESTIMACIONES'!C12</f>
        <v>169195.83667137063</v>
      </c>
      <c r="D9" s="647">
        <f>'IEPS INCREMENTO'!D12+'IEPS ESTIMACIONES'!D12</f>
        <v>325639.08057377016</v>
      </c>
      <c r="E9" s="647">
        <f>'IEPS INCREMENTO'!E12+'IEPS ESTIMACIONES'!E12</f>
        <v>169595.75681941421</v>
      </c>
      <c r="F9" s="647">
        <f>'IEPS INCREMENTO'!F12+'IEPS ESTIMACIONES'!F12</f>
        <v>171482.40052108909</v>
      </c>
      <c r="G9" s="647">
        <f>'IEPS INCREMENTO'!G12+'IEPS ESTIMACIONES'!G12</f>
        <v>179953.531375177</v>
      </c>
      <c r="H9" s="647">
        <f>'IEPS INCREMENTO'!H12+'IEPS ESTIMACIONES'!H12</f>
        <v>189391.06984786343</v>
      </c>
      <c r="I9" s="647">
        <f>'IEPS INCREMENTO'!I12+'IEPS ESTIMACIONES'!I12</f>
        <v>196108.77033857157</v>
      </c>
      <c r="J9" s="647">
        <f>'IEPS INCREMENTO'!J12+'IEPS ESTIMACIONES'!J12</f>
        <v>207823.61575531159</v>
      </c>
      <c r="K9" s="647">
        <f>'IEPS INCREMENTO'!K12+'IEPS ESTIMACIONES'!K12</f>
        <v>208845.05513144331</v>
      </c>
      <c r="L9" s="647">
        <f>'IEPS INCREMENTO'!L12+'IEPS ESTIMACIONES'!L12</f>
        <v>195718.25237492449</v>
      </c>
      <c r="M9" s="647">
        <f>'IEPS INCREMENTO'!M12+'IEPS ESTIMACIONES'!M12</f>
        <v>186305.11221781399</v>
      </c>
      <c r="N9" s="647">
        <f>'IEPS INCREMENTO'!N12+'IEPS ESTIMACIONES'!N12</f>
        <v>187968.28587325086</v>
      </c>
      <c r="O9" s="648">
        <f t="shared" si="0"/>
        <v>2388026.7675000005</v>
      </c>
    </row>
    <row r="10" spans="1:15" x14ac:dyDescent="0.2">
      <c r="A10" s="645" t="s">
        <v>152</v>
      </c>
      <c r="B10" s="657"/>
      <c r="C10" s="647">
        <f>'IEPS INCREMENTO'!C13+'IEPS ESTIMACIONES'!C13</f>
        <v>166593.44112538334</v>
      </c>
      <c r="D10" s="647">
        <f>'IEPS INCREMENTO'!D13+'IEPS ESTIMACIONES'!D13</f>
        <v>321668.72384811996</v>
      </c>
      <c r="E10" s="647">
        <f>'IEPS INCREMENTO'!E13+'IEPS ESTIMACIONES'!E13</f>
        <v>166866.23286371591</v>
      </c>
      <c r="F10" s="647">
        <f>'IEPS INCREMENTO'!F13+'IEPS ESTIMACIONES'!F13</f>
        <v>168381.83277772096</v>
      </c>
      <c r="G10" s="647">
        <f>'IEPS INCREMENTO'!G13+'IEPS ESTIMACIONES'!G13</f>
        <v>176999.48636795825</v>
      </c>
      <c r="H10" s="647">
        <f>'IEPS INCREMENTO'!H13+'IEPS ESTIMACIONES'!H13</f>
        <v>186302.74672936002</v>
      </c>
      <c r="I10" s="647">
        <f>'IEPS INCREMENTO'!I13+'IEPS ESTIMACIONES'!I13</f>
        <v>192970.34825378197</v>
      </c>
      <c r="J10" s="647">
        <f>'IEPS INCREMENTO'!J13+'IEPS ESTIMACIONES'!J13</f>
        <v>204567.66129532072</v>
      </c>
      <c r="K10" s="647">
        <f>'IEPS INCREMENTO'!K13+'IEPS ESTIMACIONES'!K13</f>
        <v>205695.08591533438</v>
      </c>
      <c r="L10" s="647">
        <f>'IEPS INCREMENTO'!L13+'IEPS ESTIMACIONES'!L13</f>
        <v>192639.45970454451</v>
      </c>
      <c r="M10" s="647">
        <f>'IEPS INCREMENTO'!M13+'IEPS ESTIMACIONES'!M13</f>
        <v>183296.2601628773</v>
      </c>
      <c r="N10" s="647">
        <f>'IEPS INCREMENTO'!N13+'IEPS ESTIMACIONES'!N13</f>
        <v>184947.48845588276</v>
      </c>
      <c r="O10" s="648">
        <f t="shared" si="0"/>
        <v>2350928.7675000001</v>
      </c>
    </row>
    <row r="11" spans="1:15" x14ac:dyDescent="0.2">
      <c r="A11" s="645" t="s">
        <v>153</v>
      </c>
      <c r="B11" s="657"/>
      <c r="C11" s="647">
        <f>'IEPS INCREMENTO'!C14+'IEPS ESTIMACIONES'!C14</f>
        <v>97051.649035390088</v>
      </c>
      <c r="D11" s="647">
        <f>'IEPS INCREMENTO'!D14+'IEPS ESTIMACIONES'!D14</f>
        <v>215571.96912380247</v>
      </c>
      <c r="E11" s="647">
        <f>'IEPS INCREMENTO'!E14+'IEPS ESTIMACIONES'!E14</f>
        <v>93927.287158667474</v>
      </c>
      <c r="F11" s="647">
        <f>'IEPS INCREMENTO'!F14+'IEPS ESTIMACIONES'!F14</f>
        <v>85527.772524383778</v>
      </c>
      <c r="G11" s="647">
        <f>'IEPS INCREMENTO'!G14+'IEPS ESTIMACIONES'!G14</f>
        <v>98060.839230613172</v>
      </c>
      <c r="H11" s="647">
        <f>'IEPS INCREMENTO'!H14+'IEPS ESTIMACIONES'!H14</f>
        <v>103775.89006268649</v>
      </c>
      <c r="I11" s="647">
        <f>'IEPS INCREMENTO'!I14+'IEPS ESTIMACIONES'!I14</f>
        <v>109104.73587690428</v>
      </c>
      <c r="J11" s="647">
        <f>'IEPS INCREMENTO'!J14+'IEPS ESTIMACIONES'!J14</f>
        <v>117561.32267000976</v>
      </c>
      <c r="K11" s="647">
        <f>'IEPS INCREMENTO'!K14+'IEPS ESTIMACIONES'!K14</f>
        <v>121520.9085293129</v>
      </c>
      <c r="L11" s="647">
        <f>'IEPS INCREMENTO'!L14+'IEPS ESTIMACIONES'!L14</f>
        <v>110367.27779050321</v>
      </c>
      <c r="M11" s="647">
        <f>'IEPS INCREMENTO'!M14+'IEPS ESTIMACIONES'!M14</f>
        <v>102893.04691706886</v>
      </c>
      <c r="N11" s="647">
        <f>'IEPS INCREMENTO'!N14+'IEPS ESTIMACIONES'!N14</f>
        <v>104225.06858065743</v>
      </c>
      <c r="O11" s="648">
        <f t="shared" si="0"/>
        <v>1359587.7674999998</v>
      </c>
    </row>
    <row r="12" spans="1:15" x14ac:dyDescent="0.2">
      <c r="A12" s="645" t="s">
        <v>154</v>
      </c>
      <c r="B12" s="657"/>
      <c r="C12" s="647">
        <f>'IEPS INCREMENTO'!C15+'IEPS ESTIMACIONES'!C15</f>
        <v>105147.99073401716</v>
      </c>
      <c r="D12" s="647">
        <f>'IEPS INCREMENTO'!D15+'IEPS ESTIMACIONES'!D15</f>
        <v>227924.19004804734</v>
      </c>
      <c r="E12" s="647">
        <f>'IEPS INCREMENTO'!E15+'IEPS ESTIMACIONES'!E15</f>
        <v>102419.13946528434</v>
      </c>
      <c r="F12" s="647">
        <f>'IEPS INCREMENTO'!F15+'IEPS ESTIMACIONES'!F15</f>
        <v>95173.983281529057</v>
      </c>
      <c r="G12" s="647">
        <f>'IEPS INCREMENTO'!G15+'IEPS ESTIMACIONES'!G15</f>
        <v>107251.2014752937</v>
      </c>
      <c r="H12" s="647">
        <f>'IEPS INCREMENTO'!H15+'IEPS ESTIMACIONES'!H15</f>
        <v>113384.00643136367</v>
      </c>
      <c r="I12" s="647">
        <f>'IEPS INCREMENTO'!I15+'IEPS ESTIMACIONES'!I15</f>
        <v>118868.71569624971</v>
      </c>
      <c r="J12" s="647">
        <f>'IEPS INCREMENTO'!J15+'IEPS ESTIMACIONES'!J15</f>
        <v>127690.95876775906</v>
      </c>
      <c r="K12" s="647">
        <f>'IEPS INCREMENTO'!K15+'IEPS ESTIMACIONES'!K15</f>
        <v>131320.81275720731</v>
      </c>
      <c r="L12" s="647">
        <f>'IEPS INCREMENTO'!L15+'IEPS ESTIMACIONES'!L15</f>
        <v>119945.74387612965</v>
      </c>
      <c r="M12" s="647">
        <f>'IEPS INCREMENTO'!M15+'IEPS ESTIMACIONES'!M15</f>
        <v>112253.91997687193</v>
      </c>
      <c r="N12" s="647">
        <f>'IEPS INCREMENTO'!N15+'IEPS ESTIMACIONES'!N15</f>
        <v>113623.10499024708</v>
      </c>
      <c r="O12" s="648">
        <f t="shared" si="0"/>
        <v>1475003.7675000001</v>
      </c>
    </row>
    <row r="13" spans="1:15" x14ac:dyDescent="0.2">
      <c r="A13" s="645" t="s">
        <v>155</v>
      </c>
      <c r="B13" s="657"/>
      <c r="C13" s="647">
        <f>'IEPS INCREMENTO'!C16+'IEPS ESTIMACIONES'!C16</f>
        <v>160665.76238174568</v>
      </c>
      <c r="D13" s="647">
        <f>'IEPS INCREMENTO'!D16+'IEPS ESTIMACIONES'!D16</f>
        <v>312625.13352858357</v>
      </c>
      <c r="E13" s="647">
        <f>'IEPS INCREMENTO'!E16+'IEPS ESTIMACIONES'!E16</f>
        <v>160648.98385351431</v>
      </c>
      <c r="F13" s="647">
        <f>'IEPS INCREMENTO'!F16+'IEPS ESTIMACIONES'!F16</f>
        <v>161319.42847338246</v>
      </c>
      <c r="G13" s="647">
        <f>'IEPS INCREMENTO'!G16+'IEPS ESTIMACIONES'!G16</f>
        <v>170270.82829596003</v>
      </c>
      <c r="H13" s="647">
        <f>'IEPS INCREMENTO'!H16+'IEPS ESTIMACIONES'!H16</f>
        <v>179268.23295943567</v>
      </c>
      <c r="I13" s="647">
        <f>'IEPS INCREMENTO'!I16+'IEPS ESTIMACIONES'!I16</f>
        <v>185821.72017176123</v>
      </c>
      <c r="J13" s="647">
        <f>'IEPS INCREMENTO'!J16+'IEPS ESTIMACIONES'!J16</f>
        <v>197151.32058089713</v>
      </c>
      <c r="K13" s="647">
        <f>'IEPS INCREMENTO'!K16+'IEPS ESTIMACIONES'!K16</f>
        <v>198520.15603419743</v>
      </c>
      <c r="L13" s="647">
        <f>'IEPS INCREMENTO'!L16+'IEPS ESTIMACIONES'!L16</f>
        <v>185626.65417756804</v>
      </c>
      <c r="M13" s="647">
        <f>'IEPS INCREMENTO'!M16+'IEPS ESTIMACIONES'!M16</f>
        <v>176442.7638155215</v>
      </c>
      <c r="N13" s="647">
        <f>'IEPS INCREMENTO'!N16+'IEPS ESTIMACIONES'!N16</f>
        <v>178066.78322743322</v>
      </c>
      <c r="O13" s="648">
        <f t="shared" si="0"/>
        <v>2266427.7675000001</v>
      </c>
    </row>
    <row r="14" spans="1:15" x14ac:dyDescent="0.2">
      <c r="A14" s="645" t="s">
        <v>156</v>
      </c>
      <c r="B14" s="657"/>
      <c r="C14" s="647">
        <f>'IEPS INCREMENTO'!C17+'IEPS ESTIMACIONES'!C17</f>
        <v>104280.52555202141</v>
      </c>
      <c r="D14" s="647">
        <f>'IEPS INCREMENTO'!D17+'IEPS ESTIMACIONES'!D17</f>
        <v>226600.73780616396</v>
      </c>
      <c r="E14" s="647">
        <f>'IEPS INCREMENTO'!E17+'IEPS ESTIMACIONES'!E17</f>
        <v>101509.29814671825</v>
      </c>
      <c r="F14" s="647">
        <f>'IEPS INCREMENTO'!F17+'IEPS ESTIMACIONES'!F17</f>
        <v>94140.460700406358</v>
      </c>
      <c r="G14" s="647">
        <f>'IEPS INCREMENTO'!G17+'IEPS ESTIMACIONES'!G17</f>
        <v>106266.51980622078</v>
      </c>
      <c r="H14" s="647">
        <f>'IEPS INCREMENTO'!H17+'IEPS ESTIMACIONES'!H17</f>
        <v>112354.56539186253</v>
      </c>
      <c r="I14" s="647">
        <f>'IEPS INCREMENTO'!I17+'IEPS ESTIMACIONES'!I17</f>
        <v>117822.57500131984</v>
      </c>
      <c r="J14" s="647">
        <f>'IEPS INCREMENTO'!J17+'IEPS ESTIMACIONES'!J17</f>
        <v>126605.64061442878</v>
      </c>
      <c r="K14" s="647">
        <f>'IEPS INCREMENTO'!K17+'IEPS ESTIMACIONES'!K17</f>
        <v>130270.82301850434</v>
      </c>
      <c r="L14" s="647">
        <f>'IEPS INCREMENTO'!L17+'IEPS ESTIMACIONES'!L17</f>
        <v>118919.47965266969</v>
      </c>
      <c r="M14" s="647">
        <f>'IEPS INCREMENTO'!M17+'IEPS ESTIMACIONES'!M17</f>
        <v>111250.96929189304</v>
      </c>
      <c r="N14" s="647">
        <f>'IEPS INCREMENTO'!N17+'IEPS ESTIMACIONES'!N17</f>
        <v>112616.17251779106</v>
      </c>
      <c r="O14" s="648">
        <f t="shared" si="0"/>
        <v>1462637.7675000003</v>
      </c>
    </row>
    <row r="15" spans="1:15" x14ac:dyDescent="0.2">
      <c r="A15" s="645" t="s">
        <v>157</v>
      </c>
      <c r="B15" s="657"/>
      <c r="C15" s="647">
        <f>'IEPS INCREMENTO'!C18+'IEPS ESTIMACIONES'!C18</f>
        <v>93726.365837739693</v>
      </c>
      <c r="D15" s="647">
        <f>'IEPS INCREMENTO'!D18+'IEPS ESTIMACIONES'!D18</f>
        <v>210498.73552991619</v>
      </c>
      <c r="E15" s="647">
        <f>'IEPS INCREMENTO'!E18+'IEPS ESTIMACIONES'!E18</f>
        <v>90439.562104164128</v>
      </c>
      <c r="F15" s="647">
        <f>'IEPS INCREMENTO'!F18+'IEPS ESTIMACIONES'!F18</f>
        <v>81565.935963413402</v>
      </c>
      <c r="G15" s="647">
        <f>'IEPS INCREMENTO'!G18+'IEPS ESTIMACIONES'!G18</f>
        <v>94286.226165833694</v>
      </c>
      <c r="H15" s="647">
        <f>'IEPS INCREMENTO'!H18+'IEPS ESTIMACIONES'!H18</f>
        <v>99829.699411265523</v>
      </c>
      <c r="I15" s="647">
        <f>'IEPS INCREMENTO'!I18+'IEPS ESTIMACIONES'!I18</f>
        <v>105094.52987967312</v>
      </c>
      <c r="J15" s="647">
        <f>'IEPS INCREMENTO'!J18+'IEPS ESTIMACIONES'!J18</f>
        <v>113400.93641557702</v>
      </c>
      <c r="K15" s="647">
        <f>'IEPS INCREMENTO'!K18+'IEPS ESTIMACIONES'!K18</f>
        <v>117495.94786428486</v>
      </c>
      <c r="L15" s="647">
        <f>'IEPS INCREMENTO'!L18+'IEPS ESTIMACIONES'!L18</f>
        <v>106433.26493390666</v>
      </c>
      <c r="M15" s="647">
        <f>'IEPS INCREMENTO'!M18+'IEPS ESTIMACIONES'!M18</f>
        <v>99048.402624649752</v>
      </c>
      <c r="N15" s="647">
        <f>'IEPS INCREMENTO'!N18+'IEPS ESTIMACIONES'!N18</f>
        <v>100365.16076957597</v>
      </c>
      <c r="O15" s="648">
        <f t="shared" si="0"/>
        <v>1312184.7675000001</v>
      </c>
    </row>
    <row r="16" spans="1:15" x14ac:dyDescent="0.2">
      <c r="A16" s="645" t="s">
        <v>158</v>
      </c>
      <c r="B16" s="657"/>
      <c r="C16" s="647">
        <f>'IEPS INCREMENTO'!C19+'IEPS ESTIMACIONES'!C19</f>
        <v>75654.174546161405</v>
      </c>
      <c r="D16" s="647">
        <f>'IEPS INCREMENTO'!D19+'IEPS ESTIMACIONES'!D19</f>
        <v>182926.81382401247</v>
      </c>
      <c r="E16" s="647">
        <f>'IEPS INCREMENTO'!E19+'IEPS ESTIMACIONES'!E19</f>
        <v>71484.534634037176</v>
      </c>
      <c r="F16" s="647">
        <f>'IEPS INCREMENTO'!F19+'IEPS ESTIMACIONES'!F19</f>
        <v>60034.215523356957</v>
      </c>
      <c r="G16" s="647">
        <f>'IEPS INCREMENTO'!G19+'IEPS ESTIMACIONES'!G19</f>
        <v>73772.024726814692</v>
      </c>
      <c r="H16" s="647">
        <f>'IEPS INCREMENTO'!H19+'IEPS ESTIMACIONES'!H19</f>
        <v>78383.011088325409</v>
      </c>
      <c r="I16" s="647">
        <f>'IEPS INCREMENTO'!I19+'IEPS ESTIMACIONES'!I19</f>
        <v>83299.932068634225</v>
      </c>
      <c r="J16" s="647">
        <f>'IEPS INCREMENTO'!J19+'IEPS ESTIMACIONES'!J19</f>
        <v>90790.141554529459</v>
      </c>
      <c r="K16" s="647">
        <f>'IEPS INCREMENTO'!K19+'IEPS ESTIMACIONES'!K19</f>
        <v>95621.161641306302</v>
      </c>
      <c r="L16" s="647">
        <f>'IEPS INCREMENTO'!L19+'IEPS ESTIMACIONES'!L19</f>
        <v>85052.760278490518</v>
      </c>
      <c r="M16" s="647">
        <f>'IEPS INCREMENTO'!M19+'IEPS ESTIMACIONES'!M19</f>
        <v>78153.596687589365</v>
      </c>
      <c r="N16" s="647">
        <f>'IEPS INCREMENTO'!N19+'IEPS ESTIMACIONES'!N19</f>
        <v>79387.400926741946</v>
      </c>
      <c r="O16" s="648">
        <f t="shared" si="0"/>
        <v>1054559.7674999998</v>
      </c>
    </row>
    <row r="17" spans="1:15" x14ac:dyDescent="0.2">
      <c r="A17" s="645" t="s">
        <v>285</v>
      </c>
      <c r="B17" s="657"/>
      <c r="C17" s="647">
        <f>'IEPS INCREMENTO'!C20+'IEPS ESTIMACIONES'!C20</f>
        <v>128569.55064790262</v>
      </c>
      <c r="D17" s="647">
        <f>'IEPS INCREMENTO'!D20+'IEPS ESTIMACIONES'!D20</f>
        <v>263657.40057889861</v>
      </c>
      <c r="E17" s="647">
        <f>'IEPS INCREMENTO'!E20+'IEPS ESTIMACIONES'!E20</f>
        <v>126984.85506656887</v>
      </c>
      <c r="F17" s="647">
        <f>'IEPS INCREMENTO'!F20+'IEPS ESTIMACIONES'!F20</f>
        <v>123079.09297184223</v>
      </c>
      <c r="G17" s="647">
        <f>'IEPS INCREMENTO'!G20+'IEPS ESTIMACIONES'!G20</f>
        <v>133837.60654026229</v>
      </c>
      <c r="H17" s="647">
        <f>'IEPS INCREMENTO'!H20+'IEPS ESTIMACIONES'!H20</f>
        <v>141178.91449789406</v>
      </c>
      <c r="I17" s="647">
        <f>'IEPS INCREMENTO'!I20+'IEPS ESTIMACIONES'!I20</f>
        <v>147114.51445935614</v>
      </c>
      <c r="J17" s="647">
        <f>'IEPS INCREMENTO'!J20+'IEPS ESTIMACIONES'!J20</f>
        <v>156994.54890767671</v>
      </c>
      <c r="K17" s="647">
        <f>'IEPS INCREMENTO'!K20+'IEPS ESTIMACIONES'!K20</f>
        <v>159670.53570218754</v>
      </c>
      <c r="L17" s="647">
        <f>'IEPS INCREMENTO'!L20+'IEPS ESTIMACIONES'!L20</f>
        <v>147654.87790954899</v>
      </c>
      <c r="M17" s="647">
        <f>'IEPS INCREMENTO'!M20+'IEPS ESTIMACIONES'!M20</f>
        <v>139333.58847130221</v>
      </c>
      <c r="N17" s="647">
        <f>'IEPS INCREMENTO'!N20+'IEPS ESTIMACIONES'!N20</f>
        <v>140810.28174655998</v>
      </c>
      <c r="O17" s="648">
        <f t="shared" si="0"/>
        <v>1808885.7675000005</v>
      </c>
    </row>
    <row r="18" spans="1:15" x14ac:dyDescent="0.2">
      <c r="A18" s="645" t="s">
        <v>286</v>
      </c>
      <c r="B18" s="657"/>
      <c r="C18" s="647">
        <f>'IEPS INCREMENTO'!C21+'IEPS ESTIMACIONES'!C21</f>
        <v>105147.99073401716</v>
      </c>
      <c r="D18" s="647">
        <f>'IEPS INCREMENTO'!D21+'IEPS ESTIMACIONES'!D21</f>
        <v>227924.19004804734</v>
      </c>
      <c r="E18" s="647">
        <f>'IEPS INCREMENTO'!E21+'IEPS ESTIMACIONES'!E21</f>
        <v>102419.13946528434</v>
      </c>
      <c r="F18" s="647">
        <f>'IEPS INCREMENTO'!F21+'IEPS ESTIMACIONES'!F21</f>
        <v>95173.983281529057</v>
      </c>
      <c r="G18" s="647">
        <f>'IEPS INCREMENTO'!G21+'IEPS ESTIMACIONES'!G21</f>
        <v>107251.2014752937</v>
      </c>
      <c r="H18" s="647">
        <f>'IEPS INCREMENTO'!H21+'IEPS ESTIMACIONES'!H21</f>
        <v>113384.00643136367</v>
      </c>
      <c r="I18" s="647">
        <f>'IEPS INCREMENTO'!I21+'IEPS ESTIMACIONES'!I21</f>
        <v>118868.71569624971</v>
      </c>
      <c r="J18" s="647">
        <f>'IEPS INCREMENTO'!J21+'IEPS ESTIMACIONES'!J21</f>
        <v>127690.95876775906</v>
      </c>
      <c r="K18" s="647">
        <f>'IEPS INCREMENTO'!K21+'IEPS ESTIMACIONES'!K21</f>
        <v>131320.81275720731</v>
      </c>
      <c r="L18" s="647">
        <f>'IEPS INCREMENTO'!L21+'IEPS ESTIMACIONES'!L21</f>
        <v>119945.74387612965</v>
      </c>
      <c r="M18" s="647">
        <f>'IEPS INCREMENTO'!M21+'IEPS ESTIMACIONES'!M21</f>
        <v>112253.91997687193</v>
      </c>
      <c r="N18" s="647">
        <f>'IEPS INCREMENTO'!N21+'IEPS ESTIMACIONES'!N21</f>
        <v>113623.10499024708</v>
      </c>
      <c r="O18" s="648">
        <f t="shared" si="0"/>
        <v>1475003.7675000001</v>
      </c>
    </row>
    <row r="19" spans="1:15" x14ac:dyDescent="0.2">
      <c r="A19" s="645" t="s">
        <v>287</v>
      </c>
      <c r="B19" s="657"/>
      <c r="C19" s="647">
        <f>'IEPS INCREMENTO'!C22+'IEPS ESTIMACIONES'!C22</f>
        <v>56280.785481589483</v>
      </c>
      <c r="D19" s="647">
        <f>'IEPS INCREMENTO'!D22+'IEPS ESTIMACIONES'!D22</f>
        <v>153369.71375528368</v>
      </c>
      <c r="E19" s="647">
        <f>'IEPS INCREMENTO'!E22+'IEPS ESTIMACIONES'!E22</f>
        <v>51164.745186061111</v>
      </c>
      <c r="F19" s="647">
        <f>'IEPS INCREMENTO'!F22+'IEPS ESTIMACIONES'!F22</f>
        <v>36952.211211616457</v>
      </c>
      <c r="G19" s="647">
        <f>'IEPS INCREMENTO'!G22+'IEPS ESTIMACIONES'!G22</f>
        <v>51780.800784186329</v>
      </c>
      <c r="H19" s="647">
        <f>'IEPS INCREMENTO'!H22+'IEPS ESTIMACIONES'!H22</f>
        <v>55392.161206133613</v>
      </c>
      <c r="I19" s="647">
        <f>'IEPS INCREMENTO'!I22+'IEPS ESTIMACIONES'!I22</f>
        <v>59936.12321520051</v>
      </c>
      <c r="J19" s="647">
        <f>'IEPS INCREMENTO'!J22+'IEPS ESTIMACIONES'!J22</f>
        <v>66551.369463486495</v>
      </c>
      <c r="K19" s="647">
        <f>'IEPS INCREMENTO'!K22+'IEPS ESTIMACIONES'!K22</f>
        <v>72171.390810273297</v>
      </c>
      <c r="L19" s="647">
        <f>'IEPS INCREMENTO'!L22+'IEPS ESTIMACIONES'!L22</f>
        <v>62132.859287884407</v>
      </c>
      <c r="M19" s="647">
        <f>'IEPS INCREMENTO'!M22+'IEPS ESTIMACIONES'!M22</f>
        <v>55754.364723060615</v>
      </c>
      <c r="N19" s="647">
        <f>'IEPS INCREMENTO'!N22+'IEPS ESTIMACIONES'!N22</f>
        <v>56899.242375223883</v>
      </c>
      <c r="O19" s="648">
        <f t="shared" si="0"/>
        <v>778385.76749999984</v>
      </c>
    </row>
    <row r="20" spans="1:15" x14ac:dyDescent="0.2">
      <c r="A20" s="645" t="s">
        <v>162</v>
      </c>
      <c r="B20" s="657"/>
      <c r="C20" s="647">
        <f>'IEPS INCREMENTO'!C23+'IEPS ESTIMACIONES'!C23</f>
        <v>90690.237700754544</v>
      </c>
      <c r="D20" s="647">
        <f>'IEPS INCREMENTO'!D23+'IEPS ESTIMACIONES'!D23</f>
        <v>205866.65268332436</v>
      </c>
      <c r="E20" s="647">
        <f>'IEPS INCREMENTO'!E23+'IEPS ESTIMACIONES'!E23</f>
        <v>87255.117489182798</v>
      </c>
      <c r="F20" s="647">
        <f>'IEPS INCREMENTO'!F23+'IEPS ESTIMACIONES'!F23</f>
        <v>77948.606929483925</v>
      </c>
      <c r="G20" s="647">
        <f>'IEPS INCREMENTO'!G23+'IEPS ESTIMACIONES'!G23</f>
        <v>90839.840324078497</v>
      </c>
      <c r="H20" s="647">
        <f>'IEPS INCREMENTO'!H23+'IEPS ESTIMACIONES'!H23</f>
        <v>96226.655773011589</v>
      </c>
      <c r="I20" s="647">
        <f>'IEPS INCREMENTO'!I23+'IEPS ESTIMACIONES'!I23</f>
        <v>101433.0374474186</v>
      </c>
      <c r="J20" s="647">
        <f>'IEPS INCREMENTO'!J23+'IEPS ESTIMACIONES'!J23</f>
        <v>109602.32287892103</v>
      </c>
      <c r="K20" s="647">
        <f>'IEPS INCREMENTO'!K23+'IEPS ESTIMACIONES'!K23</f>
        <v>113820.98377882448</v>
      </c>
      <c r="L20" s="647">
        <f>'IEPS INCREMENTO'!L23+'IEPS ESTIMACIONES'!L23</f>
        <v>102841.34015179674</v>
      </c>
      <c r="M20" s="647">
        <f>'IEPS INCREMENTO'!M23+'IEPS ESTIMACIONES'!M23</f>
        <v>95538.075227223628</v>
      </c>
      <c r="N20" s="647">
        <f>'IEPS INCREMENTO'!N23+'IEPS ESTIMACIONES'!N23</f>
        <v>96840.897115979868</v>
      </c>
      <c r="O20" s="648">
        <f t="shared" si="0"/>
        <v>1268903.7674999998</v>
      </c>
    </row>
    <row r="21" spans="1:15" x14ac:dyDescent="0.2">
      <c r="A21" s="645" t="s">
        <v>163</v>
      </c>
      <c r="B21" s="657"/>
      <c r="C21" s="647">
        <f>'IEPS INCREMENTO'!C24+'IEPS ESTIMACIONES'!C24</f>
        <v>37051.97394735019</v>
      </c>
      <c r="D21" s="647">
        <f>'IEPS INCREMENTO'!D24+'IEPS ESTIMACIONES'!D24</f>
        <v>124033.18906020212</v>
      </c>
      <c r="E21" s="647">
        <f>'IEPS INCREMENTO'!E24+'IEPS ESTIMACIONES'!E24</f>
        <v>30996.59595784605</v>
      </c>
      <c r="F21" s="647">
        <f>'IEPS INCREMENTO'!F24+'IEPS ESTIMACIONES'!F24</f>
        <v>14042.460663396403</v>
      </c>
      <c r="G21" s="647">
        <f>'IEPS INCREMENTO'!G24+'IEPS ESTIMACIONES'!G24</f>
        <v>29953.690453070121</v>
      </c>
      <c r="H21" s="647">
        <f>'IEPS INCREMENTO'!H24+'IEPS ESTIMACIONES'!H24</f>
        <v>32572.884830525334</v>
      </c>
      <c r="I21" s="647">
        <f>'IEPS INCREMENTO'!I24+'IEPS ESTIMACIONES'!I24</f>
        <v>36746.671144255117</v>
      </c>
      <c r="J21" s="647">
        <f>'IEPS INCREMENTO'!J24+'IEPS ESTIMACIONES'!J24</f>
        <v>42493.4837313319</v>
      </c>
      <c r="K21" s="647">
        <f>'IEPS INCREMENTO'!K24+'IEPS ESTIMACIONES'!K24</f>
        <v>48896.618269024111</v>
      </c>
      <c r="L21" s="647">
        <f>'IEPS INCREMENTO'!L24+'IEPS ESTIMACIONES'!L24</f>
        <v>39384.002334521625</v>
      </c>
      <c r="M21" s="647">
        <f>'IEPS INCREMENTO'!M24+'IEPS ESTIMACIONES'!M24</f>
        <v>33522.291206028349</v>
      </c>
      <c r="N21" s="647">
        <f>'IEPS INCREMENTO'!N24+'IEPS ESTIMACIONES'!N24</f>
        <v>34578.905902448474</v>
      </c>
      <c r="O21" s="648">
        <f t="shared" si="0"/>
        <v>504272.76749999984</v>
      </c>
    </row>
    <row r="22" spans="1:15" x14ac:dyDescent="0.2">
      <c r="A22" s="645" t="s">
        <v>164</v>
      </c>
      <c r="B22" s="657"/>
      <c r="C22" s="647">
        <f>'IEPS INCREMENTO'!C25+'IEPS ESTIMACIONES'!C25</f>
        <v>86208.334260443124</v>
      </c>
      <c r="D22" s="647">
        <f>'IEPS INCREMENTO'!D25+'IEPS ESTIMACIONES'!D25</f>
        <v>199028.81610026024</v>
      </c>
      <c r="E22" s="647">
        <f>'IEPS INCREMENTO'!E25+'IEPS ESTIMACIONES'!E25</f>
        <v>82554.270676591317</v>
      </c>
      <c r="F22" s="647">
        <f>'IEPS INCREMENTO'!F25+'IEPS ESTIMACIONES'!F25</f>
        <v>72608.740260349907</v>
      </c>
      <c r="G22" s="647">
        <f>'IEPS INCREMENTO'!G25+'IEPS ESTIMACIONES'!G25</f>
        <v>85752.318367201777</v>
      </c>
      <c r="H22" s="647">
        <f>'IEPS INCREMENTO'!H25+'IEPS ESTIMACIONES'!H25</f>
        <v>90907.877068922418</v>
      </c>
      <c r="I22" s="647">
        <f>'IEPS INCREMENTO'!I25+'IEPS ESTIMACIONES'!I25</f>
        <v>96027.97719028093</v>
      </c>
      <c r="J22" s="647">
        <f>'IEPS INCREMENTO'!J25+'IEPS ESTIMACIONES'!J25</f>
        <v>103994.84575338122</v>
      </c>
      <c r="K22" s="647">
        <f>'IEPS INCREMENTO'!K25+'IEPS ESTIMACIONES'!K25</f>
        <v>108396.03679552578</v>
      </c>
      <c r="L22" s="647">
        <f>'IEPS INCREMENTO'!L25+'IEPS ESTIMACIONES'!L25</f>
        <v>97538.974997253536</v>
      </c>
      <c r="M22" s="647">
        <f>'IEPS INCREMENTO'!M25+'IEPS ESTIMACIONES'!M25</f>
        <v>90356.163354832621</v>
      </c>
      <c r="N22" s="647">
        <f>'IEPS INCREMENTO'!N25+'IEPS ESTIMACIONES'!N25</f>
        <v>91638.412674957013</v>
      </c>
      <c r="O22" s="648">
        <f t="shared" si="0"/>
        <v>1205012.7674999998</v>
      </c>
    </row>
    <row r="23" spans="1:15" ht="13.5" thickBot="1" x14ac:dyDescent="0.25">
      <c r="A23" s="645" t="s">
        <v>165</v>
      </c>
      <c r="B23" s="658"/>
      <c r="C23" s="647">
        <f>'IEPS INCREMENTO'!C26+'IEPS ESTIMACIONES'!C26</f>
        <v>98208.269278051099</v>
      </c>
      <c r="D23" s="647">
        <f>'IEPS INCREMENTO'!D26+'IEPS ESTIMACIONES'!D26</f>
        <v>217336.5721129803</v>
      </c>
      <c r="E23" s="647">
        <f>'IEPS INCREMENTO'!E26+'IEPS ESTIMACIONES'!E26</f>
        <v>95140.408916755609</v>
      </c>
      <c r="F23" s="647">
        <f>'IEPS INCREMENTO'!F26+'IEPS ESTIMACIONES'!F26</f>
        <v>86905.802632547391</v>
      </c>
      <c r="G23" s="647">
        <f>'IEPS INCREMENTO'!G26+'IEPS ESTIMACIONES'!G26</f>
        <v>99373.7481227104</v>
      </c>
      <c r="H23" s="647">
        <f>'IEPS INCREMENTO'!H26+'IEPS ESTIMACIONES'!H26</f>
        <v>105148.47811535466</v>
      </c>
      <c r="I23" s="647">
        <f>'IEPS INCREMENTO'!I26+'IEPS ESTIMACIONES'!I26</f>
        <v>110499.59013681077</v>
      </c>
      <c r="J23" s="647">
        <f>'IEPS INCREMENTO'!J26+'IEPS ESTIMACIONES'!J26</f>
        <v>119008.4135411168</v>
      </c>
      <c r="K23" s="647">
        <f>'IEPS INCREMENTO'!K26+'IEPS ESTIMACIONES'!K26</f>
        <v>122920.89484758355</v>
      </c>
      <c r="L23" s="647">
        <f>'IEPS INCREMENTO'!L26+'IEPS ESTIMACIONES'!L26</f>
        <v>111735.63008844986</v>
      </c>
      <c r="M23" s="647">
        <f>'IEPS INCREMENTO'!M26+'IEPS ESTIMACIONES'!M26</f>
        <v>104230.31449704073</v>
      </c>
      <c r="N23" s="647">
        <f>'IEPS INCREMENTO'!N26+'IEPS ESTIMACIONES'!N26</f>
        <v>105567.64521059881</v>
      </c>
      <c r="O23" s="648">
        <f t="shared" si="0"/>
        <v>1376075.7675000001</v>
      </c>
    </row>
    <row r="24" spans="1:15" ht="13.5" thickBot="1" x14ac:dyDescent="0.25">
      <c r="A24" s="650" t="s">
        <v>288</v>
      </c>
      <c r="B24" s="651">
        <f>SUM(B4:B23)</f>
        <v>0</v>
      </c>
      <c r="C24" s="652">
        <f>SUM(C4:C23)</f>
        <v>2079827.4098271234</v>
      </c>
      <c r="D24" s="652">
        <f t="shared" ref="D24:O24" si="1">SUM(D4:D23)</f>
        <v>4523191.7411773903</v>
      </c>
      <c r="E24" s="652">
        <f t="shared" si="1"/>
        <v>2024120.3541439245</v>
      </c>
      <c r="F24" s="652">
        <f t="shared" si="1"/>
        <v>1875919.0634673091</v>
      </c>
      <c r="G24" s="652">
        <f t="shared" si="1"/>
        <v>2118765.8516639289</v>
      </c>
      <c r="H24" s="652">
        <f t="shared" si="1"/>
        <v>2240228.3675739104</v>
      </c>
      <c r="I24" s="652">
        <f t="shared" si="1"/>
        <v>2349477.2287268643</v>
      </c>
      <c r="J24" s="652">
        <f t="shared" si="1"/>
        <v>2524877.3579330402</v>
      </c>
      <c r="K24" s="652">
        <f t="shared" si="1"/>
        <v>2598416.5287787337</v>
      </c>
      <c r="L24" s="652">
        <f t="shared" si="1"/>
        <v>2371547.8315636604</v>
      </c>
      <c r="M24" s="652">
        <f t="shared" si="1"/>
        <v>2218333.0479380009</v>
      </c>
      <c r="N24" s="652">
        <f t="shared" si="1"/>
        <v>2245610.5672061145</v>
      </c>
      <c r="O24" s="652">
        <f t="shared" si="1"/>
        <v>29170315.349999994</v>
      </c>
    </row>
    <row r="25" spans="1:15" hidden="1" x14ac:dyDescent="0.2">
      <c r="A25" s="661" t="s">
        <v>349</v>
      </c>
      <c r="B25" s="661"/>
      <c r="C25" s="662">
        <f>'[3]PRESUPUSTO ESTATAL 2017'!B52</f>
        <v>1521250.4468291907</v>
      </c>
      <c r="D25" s="662">
        <f>'[3]PRESUPUSTO ESTATAL 2017'!C52</f>
        <v>1992155.4322061262</v>
      </c>
      <c r="E25" s="662">
        <f>'[3]PRESUPUSTO ESTATAL 2017'!D52</f>
        <v>1561223.5204092669</v>
      </c>
      <c r="F25" s="662">
        <f>'[3]PRESUPUSTO ESTATAL 2017'!E52</f>
        <v>1709133.4840227321</v>
      </c>
      <c r="G25" s="662">
        <f>'[3]PRESUPUSTO ESTATAL 2017'!F52</f>
        <v>1794276.5472658337</v>
      </c>
      <c r="H25" s="662">
        <f>'[3]PRESUPUSTO ESTATAL 2017'!G52</f>
        <v>1664193.9164477964</v>
      </c>
      <c r="I25" s="662">
        <f>'[3]PRESUPUSTO ESTATAL 2017'!H52</f>
        <v>1722567.8942233375</v>
      </c>
      <c r="J25" s="662">
        <f>'[3]PRESUPUSTO ESTATAL 2017'!I52</f>
        <v>1774773.0179705636</v>
      </c>
      <c r="K25" s="662">
        <f>'[3]PRESUPUSTO ESTATAL 2017'!J52</f>
        <v>1814273.0193366187</v>
      </c>
      <c r="L25" s="662">
        <f>'[3]PRESUPUSTO ESTATAL 2017'!K52</f>
        <v>1772942.0603667807</v>
      </c>
      <c r="M25" s="662">
        <f>'[3]PRESUPUSTO ESTATAL 2017'!L52</f>
        <v>1696337.0334839264</v>
      </c>
      <c r="N25" s="662">
        <f>'[3]PRESUPUSTO ESTATAL 2017'!M52</f>
        <v>1676873.6274378267</v>
      </c>
      <c r="O25" s="662">
        <f>SUM(C25:N25)</f>
        <v>20700000</v>
      </c>
    </row>
    <row r="26" spans="1:15" hidden="1" x14ac:dyDescent="0.2">
      <c r="A26" s="663" t="s">
        <v>350</v>
      </c>
      <c r="B26" s="663"/>
      <c r="C26" s="664">
        <f>C25-C24</f>
        <v>-558576.96299793269</v>
      </c>
      <c r="D26" s="664">
        <f t="shared" ref="D26:O26" si="2">D25-D24</f>
        <v>-2531036.3089712644</v>
      </c>
      <c r="E26" s="664">
        <f t="shared" si="2"/>
        <v>-462896.83373465762</v>
      </c>
      <c r="F26" s="664">
        <f t="shared" si="2"/>
        <v>-166785.57944457699</v>
      </c>
      <c r="G26" s="664">
        <f t="shared" si="2"/>
        <v>-324489.30439809524</v>
      </c>
      <c r="H26" s="664">
        <f t="shared" si="2"/>
        <v>-576034.451126114</v>
      </c>
      <c r="I26" s="664">
        <f t="shared" si="2"/>
        <v>-626909.3345035268</v>
      </c>
      <c r="J26" s="664">
        <f t="shared" si="2"/>
        <v>-750104.33996247663</v>
      </c>
      <c r="K26" s="664">
        <f t="shared" si="2"/>
        <v>-784143.50944211497</v>
      </c>
      <c r="L26" s="664">
        <f t="shared" si="2"/>
        <v>-598605.77119687968</v>
      </c>
      <c r="M26" s="664">
        <f t="shared" si="2"/>
        <v>-521996.01445407444</v>
      </c>
      <c r="N26" s="664">
        <f t="shared" si="2"/>
        <v>-568736.93976828782</v>
      </c>
      <c r="O26" s="664">
        <f t="shared" si="2"/>
        <v>-8470315.349999994</v>
      </c>
    </row>
    <row r="27" spans="1:15" x14ac:dyDescent="0.2">
      <c r="A27" s="654" t="s">
        <v>289</v>
      </c>
    </row>
    <row r="28" spans="1:15" x14ac:dyDescent="0.2">
      <c r="D28" s="649"/>
    </row>
    <row r="31" spans="1:15" x14ac:dyDescent="0.2">
      <c r="C31" s="649"/>
      <c r="D31" s="649"/>
      <c r="E31" s="649"/>
      <c r="F31" s="649"/>
      <c r="G31" s="649"/>
      <c r="H31" s="649"/>
      <c r="I31" s="649"/>
      <c r="J31" s="649"/>
      <c r="K31" s="649"/>
      <c r="L31" s="649"/>
      <c r="M31" s="649"/>
      <c r="N31" s="649"/>
      <c r="O31" s="649"/>
    </row>
    <row r="35" spans="11:11" x14ac:dyDescent="0.2">
      <c r="K35" s="649"/>
    </row>
  </sheetData>
  <mergeCells count="1">
    <mergeCell ref="A1:O1"/>
  </mergeCells>
  <printOptions horizontalCentered="1"/>
  <pageMargins left="0.74803149606299213" right="0.74803149606299213" top="0.98425196850393704" bottom="0.98425196850393704" header="0" footer="0"/>
  <pageSetup paperSize="5"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Q101"/>
  <sheetViews>
    <sheetView workbookViewId="0">
      <selection sqref="A1:O1"/>
    </sheetView>
  </sheetViews>
  <sheetFormatPr baseColWidth="10" defaultRowHeight="12.75" x14ac:dyDescent="0.2"/>
  <cols>
    <col min="1" max="1" width="16.85546875" style="640" customWidth="1"/>
    <col min="2" max="2" width="9.28515625" style="640" hidden="1" customWidth="1"/>
    <col min="3" max="15" width="9.7109375" style="640" customWidth="1"/>
    <col min="16" max="16" width="11.7109375" style="640" bestFit="1" customWidth="1"/>
    <col min="17" max="16384" width="11.42578125" style="640"/>
  </cols>
  <sheetData>
    <row r="1" spans="1:16" x14ac:dyDescent="0.2">
      <c r="A1" s="1237" t="s">
        <v>522</v>
      </c>
      <c r="B1" s="1237"/>
      <c r="C1" s="1237"/>
      <c r="D1" s="1237"/>
      <c r="E1" s="1237"/>
      <c r="F1" s="1237"/>
      <c r="G1" s="1237"/>
      <c r="H1" s="1237"/>
      <c r="I1" s="1237"/>
      <c r="J1" s="1237"/>
      <c r="K1" s="1237"/>
      <c r="L1" s="1237"/>
      <c r="M1" s="1237"/>
      <c r="N1" s="1237"/>
      <c r="O1" s="1237"/>
    </row>
    <row r="2" spans="1:16" ht="13.5" thickBot="1" x14ac:dyDescent="0.25"/>
    <row r="3" spans="1:16" ht="23.25" thickBot="1" x14ac:dyDescent="0.25">
      <c r="A3" s="641" t="s">
        <v>346</v>
      </c>
      <c r="B3" s="642" t="s">
        <v>281</v>
      </c>
      <c r="C3" s="641" t="s">
        <v>1</v>
      </c>
      <c r="D3" s="643" t="s">
        <v>2</v>
      </c>
      <c r="E3" s="641" t="s">
        <v>3</v>
      </c>
      <c r="F3" s="643" t="s">
        <v>4</v>
      </c>
      <c r="G3" s="641" t="s">
        <v>5</v>
      </c>
      <c r="H3" s="641" t="s">
        <v>6</v>
      </c>
      <c r="I3" s="641" t="s">
        <v>7</v>
      </c>
      <c r="J3" s="643" t="s">
        <v>8</v>
      </c>
      <c r="K3" s="641" t="s">
        <v>9</v>
      </c>
      <c r="L3" s="643" t="s">
        <v>10</v>
      </c>
      <c r="M3" s="641" t="s">
        <v>11</v>
      </c>
      <c r="N3" s="641" t="s">
        <v>12</v>
      </c>
      <c r="O3" s="644" t="s">
        <v>168</v>
      </c>
    </row>
    <row r="4" spans="1:16" x14ac:dyDescent="0.2">
      <c r="A4" s="645" t="s">
        <v>282</v>
      </c>
      <c r="B4" s="656"/>
      <c r="C4" s="647">
        <f>IEPSGASINCREMENTO!C7+'IEPSGAS ESTIMACIONES'!C7</f>
        <v>142909.59137768377</v>
      </c>
      <c r="D4" s="647">
        <f>IEPSGASINCREMENTO!D7+'IEPSGAS ESTIMACIONES'!D7</f>
        <v>158937.35686721024</v>
      </c>
      <c r="E4" s="647">
        <f>IEPSGASINCREMENTO!E7+'IEPSGAS ESTIMACIONES'!E7</f>
        <v>154531.73738893951</v>
      </c>
      <c r="F4" s="647">
        <f>IEPSGASINCREMENTO!F7+'IEPSGAS ESTIMACIONES'!F7</f>
        <v>168435.97783081312</v>
      </c>
      <c r="G4" s="647">
        <f>IEPSGASINCREMENTO!G7+'IEPSGAS ESTIMACIONES'!G7</f>
        <v>168003.12615586602</v>
      </c>
      <c r="H4" s="647">
        <f>IEPSGASINCREMENTO!H7+'IEPSGAS ESTIMACIONES'!H7</f>
        <v>172035.570142471</v>
      </c>
      <c r="I4" s="647">
        <f>IEPSGASINCREMENTO!I7+'IEPSGAS ESTIMACIONES'!I7</f>
        <v>165620.20144395222</v>
      </c>
      <c r="J4" s="647">
        <f>IEPSGASINCREMENTO!J7+'IEPSGAS ESTIMACIONES'!J7</f>
        <v>171747.52146433434</v>
      </c>
      <c r="K4" s="647">
        <f>IEPSGASINCREMENTO!K7+'IEPSGAS ESTIMACIONES'!K7</f>
        <v>169614.13362738705</v>
      </c>
      <c r="L4" s="647">
        <f>IEPSGASINCREMENTO!L7+'IEPSGAS ESTIMACIONES'!L7</f>
        <v>163385.59699636704</v>
      </c>
      <c r="M4" s="647">
        <f>IEPSGASINCREMENTO!M7+'IEPSGAS ESTIMACIONES'!M7</f>
        <v>169143.34357050917</v>
      </c>
      <c r="N4" s="647">
        <f>IEPSGASINCREMENTO!N7+'IEPSGAS ESTIMACIONES'!N7</f>
        <v>158331.77300651377</v>
      </c>
      <c r="O4" s="648">
        <f>SUM(C4:N4)</f>
        <v>1962695.9298720472</v>
      </c>
      <c r="P4" s="649"/>
    </row>
    <row r="5" spans="1:16" x14ac:dyDescent="0.2">
      <c r="A5" s="645" t="s">
        <v>147</v>
      </c>
      <c r="B5" s="657"/>
      <c r="C5" s="647">
        <f>IEPSGASINCREMENTO!C8+'IEPSGAS ESTIMACIONES'!C8</f>
        <v>58517.817894333508</v>
      </c>
      <c r="D5" s="647">
        <f>IEPSGASINCREMENTO!D8+'IEPSGAS ESTIMACIONES'!D8</f>
        <v>65140.754857709515</v>
      </c>
      <c r="E5" s="647">
        <f>IEPSGASINCREMENTO!E8+'IEPSGAS ESTIMACIONES'!E8</f>
        <v>63241.751264252394</v>
      </c>
      <c r="F5" s="647">
        <f>IEPSGASINCREMENTO!F8+'IEPSGAS ESTIMACIONES'!F8</f>
        <v>69016.484412500795</v>
      </c>
      <c r="G5" s="647">
        <f>IEPSGASINCREMENTO!G8+'IEPSGAS ESTIMACIONES'!G8</f>
        <v>68795.748442428623</v>
      </c>
      <c r="H5" s="647">
        <f>IEPSGASINCREMENTO!H8+'IEPSGAS ESTIMACIONES'!H8</f>
        <v>70488.911138427458</v>
      </c>
      <c r="I5" s="647">
        <f>IEPSGASINCREMENTO!I8+'IEPSGAS ESTIMACIONES'!I8</f>
        <v>67813.220248316036</v>
      </c>
      <c r="J5" s="647">
        <f>IEPSGASINCREMENTO!J8+'IEPSGAS ESTIMACIONES'!J8</f>
        <v>70351.33486053141</v>
      </c>
      <c r="K5" s="647">
        <f>IEPSGASINCREMENTO!K8+'IEPSGAS ESTIMACIONES'!K8</f>
        <v>69499.431016862276</v>
      </c>
      <c r="L5" s="647">
        <f>IEPSGASINCREMENTO!L8+'IEPSGAS ESTIMACIONES'!L8</f>
        <v>66891.397989766672</v>
      </c>
      <c r="M5" s="647">
        <f>IEPSGASINCREMENTO!M8+'IEPSGAS ESTIMACIONES'!M8</f>
        <v>69296.113198989769</v>
      </c>
      <c r="N5" s="647">
        <f>IEPSGASINCREMENTO!N8+'IEPSGAS ESTIMACIONES'!N8</f>
        <v>64993.460183386516</v>
      </c>
      <c r="O5" s="648">
        <f t="shared" ref="O5:O23" si="0">SUM(C5:N5)</f>
        <v>804046.42550750496</v>
      </c>
      <c r="P5" s="649"/>
    </row>
    <row r="6" spans="1:16" x14ac:dyDescent="0.2">
      <c r="A6" s="645" t="s">
        <v>148</v>
      </c>
      <c r="B6" s="657"/>
      <c r="C6" s="647">
        <f>IEPSGASINCREMENTO!C9+'IEPSGAS ESTIMACIONES'!C9</f>
        <v>43062.697156838847</v>
      </c>
      <c r="D6" s="647">
        <f>IEPSGASINCREMENTO!D9+'IEPSGAS ESTIMACIONES'!D9</f>
        <v>48021.238820643142</v>
      </c>
      <c r="E6" s="647">
        <f>IEPSGASINCREMENTO!E9+'IEPSGAS ESTIMACIONES'!E9</f>
        <v>46489.463419097287</v>
      </c>
      <c r="F6" s="647">
        <f>IEPSGASINCREMENTO!F9+'IEPSGAS ESTIMACIONES'!F9</f>
        <v>50853.96631839031</v>
      </c>
      <c r="G6" s="647">
        <f>IEPSGASINCREMENTO!G9+'IEPSGAS ESTIMACIONES'!G9</f>
        <v>50630.043736390806</v>
      </c>
      <c r="H6" s="647">
        <f>IEPSGASINCREMENTO!H9+'IEPSGAS ESTIMACIONES'!H9</f>
        <v>51935.370480219848</v>
      </c>
      <c r="I6" s="647">
        <f>IEPSGASINCREMENTO!I9+'IEPSGAS ESTIMACIONES'!I9</f>
        <v>49897.42408158382</v>
      </c>
      <c r="J6" s="647">
        <f>IEPSGASINCREMENTO!J9+'IEPSGAS ESTIMACIONES'!J9</f>
        <v>51806.38296703354</v>
      </c>
      <c r="K6" s="647">
        <f>IEPSGASINCREMENTO!K9+'IEPSGAS ESTIMACIONES'!K9</f>
        <v>51210.099947094131</v>
      </c>
      <c r="L6" s="647">
        <f>IEPSGASINCREMENTO!L9+'IEPSGAS ESTIMACIONES'!L9</f>
        <v>49209.438584688716</v>
      </c>
      <c r="M6" s="647">
        <f>IEPSGASINCREMENTO!M9+'IEPSGAS ESTIMACIONES'!M9</f>
        <v>51045.578698663994</v>
      </c>
      <c r="N6" s="647">
        <f>IEPSGASINCREMENTO!N9+'IEPSGAS ESTIMACIONES'!N9</f>
        <v>48055.165917308303</v>
      </c>
      <c r="O6" s="648">
        <f t="shared" si="0"/>
        <v>592216.87012795266</v>
      </c>
      <c r="P6" s="649"/>
    </row>
    <row r="7" spans="1:16" x14ac:dyDescent="0.2">
      <c r="A7" s="645" t="s">
        <v>283</v>
      </c>
      <c r="B7" s="657"/>
      <c r="C7" s="647">
        <f>IEPSGASINCREMENTO!C10+'IEPSGAS ESTIMACIONES'!C10</f>
        <v>435551.03161095164</v>
      </c>
      <c r="D7" s="647">
        <f>IEPSGASINCREMENTO!D10+'IEPSGAS ESTIMACIONES'!D10</f>
        <v>514564.67538323323</v>
      </c>
      <c r="E7" s="647">
        <f>IEPSGASINCREMENTO!E10+'IEPSGAS ESTIMACIONES'!E10</f>
        <v>453350.29699706088</v>
      </c>
      <c r="F7" s="647">
        <f>IEPSGASINCREMENTO!F10+'IEPSGAS ESTIMACIONES'!F10</f>
        <v>536617.39730047458</v>
      </c>
      <c r="G7" s="647">
        <f>IEPSGASINCREMENTO!G10+'IEPSGAS ESTIMACIONES'!G10</f>
        <v>513423.0494156949</v>
      </c>
      <c r="H7" s="647">
        <f>IEPSGASINCREMENTO!H10+'IEPSGAS ESTIMACIONES'!H10</f>
        <v>546826.48535910284</v>
      </c>
      <c r="I7" s="647">
        <f>IEPSGASINCREMENTO!I10+'IEPSGAS ESTIMACIONES'!I10</f>
        <v>502749.78933702002</v>
      </c>
      <c r="J7" s="647">
        <f>IEPSGASINCREMENTO!J10+'IEPSGAS ESTIMACIONES'!J10</f>
        <v>536076.97326853441</v>
      </c>
      <c r="K7" s="647">
        <f>IEPSGASINCREMENTO!K10+'IEPSGAS ESTIMACIONES'!K10</f>
        <v>540470.63227809151</v>
      </c>
      <c r="L7" s="647">
        <f>IEPSGASINCREMENTO!L10+'IEPSGAS ESTIMACIONES'!L10</f>
        <v>492514.78276690649</v>
      </c>
      <c r="M7" s="647">
        <f>IEPSGASINCREMENTO!M10+'IEPSGAS ESTIMACIONES'!M10</f>
        <v>533734.09640066535</v>
      </c>
      <c r="N7" s="647">
        <f>IEPSGASINCREMENTO!N10+'IEPSGAS ESTIMACIONES'!N10</f>
        <v>563353.45932124066</v>
      </c>
      <c r="O7" s="648">
        <f t="shared" si="0"/>
        <v>6169232.6694389768</v>
      </c>
      <c r="P7" s="649"/>
    </row>
    <row r="8" spans="1:16" x14ac:dyDescent="0.2">
      <c r="A8" s="645" t="s">
        <v>150</v>
      </c>
      <c r="B8" s="657"/>
      <c r="C8" s="647">
        <f>IEPSGASINCREMENTO!C11+'IEPSGAS ESTIMACIONES'!C11</f>
        <v>268645.34217354935</v>
      </c>
      <c r="D8" s="647">
        <f>IEPSGASINCREMENTO!D11+'IEPSGAS ESTIMACIONES'!D11</f>
        <v>301803.66358142911</v>
      </c>
      <c r="E8" s="647">
        <f>IEPSGASINCREMENTO!E11+'IEPSGAS ESTIMACIONES'!E11</f>
        <v>288723.54284830007</v>
      </c>
      <c r="F8" s="647">
        <f>IEPSGASINCREMENTO!F11+'IEPSGAS ESTIMACIONES'!F11</f>
        <v>318966.9428957972</v>
      </c>
      <c r="G8" s="647">
        <f>IEPSGASINCREMENTO!G11+'IEPSGAS ESTIMACIONES'!G11</f>
        <v>315956.77289163962</v>
      </c>
      <c r="H8" s="647">
        <f>IEPSGASINCREMENTO!H11+'IEPSGAS ESTIMACIONES'!H11</f>
        <v>325657.0895489601</v>
      </c>
      <c r="I8" s="647">
        <f>IEPSGASINCREMENTO!I11+'IEPSGAS ESTIMACIONES'!I11</f>
        <v>311134.81449771259</v>
      </c>
      <c r="J8" s="647">
        <f>IEPSGASINCREMENTO!J11+'IEPSGAS ESTIMACIONES'!J11</f>
        <v>324124.3980649623</v>
      </c>
      <c r="K8" s="647">
        <f>IEPSGASINCREMENTO!K11+'IEPSGAS ESTIMACIONES'!K11</f>
        <v>321208.03235465474</v>
      </c>
      <c r="L8" s="647">
        <f>IEPSGASINCREMENTO!L11+'IEPSGAS ESTIMACIONES'!L11</f>
        <v>306590.2881383127</v>
      </c>
      <c r="M8" s="647">
        <f>IEPSGASINCREMENTO!M11+'IEPSGAS ESTIMACIONES'!M11</f>
        <v>319790.68512770778</v>
      </c>
      <c r="N8" s="647">
        <f>IEPSGASINCREMENTO!N11+'IEPSGAS ESTIMACIONES'!N11</f>
        <v>305749.4795871122</v>
      </c>
      <c r="O8" s="648">
        <f t="shared" si="0"/>
        <v>3708351.0517101376</v>
      </c>
      <c r="P8" s="649"/>
    </row>
    <row r="9" spans="1:16" x14ac:dyDescent="0.2">
      <c r="A9" s="645" t="s">
        <v>284</v>
      </c>
      <c r="B9" s="657"/>
      <c r="C9" s="647">
        <f>IEPSGASINCREMENTO!C12+'IEPSGAS ESTIMACIONES'!C12</f>
        <v>139657.07538247167</v>
      </c>
      <c r="D9" s="647">
        <f>IEPSGASINCREMENTO!D12+'IEPSGAS ESTIMACIONES'!D12</f>
        <v>159861.75614730612</v>
      </c>
      <c r="E9" s="647">
        <f>IEPSGASINCREMENTO!E12+'IEPSGAS ESTIMACIONES'!E12</f>
        <v>148361.53011882992</v>
      </c>
      <c r="F9" s="647">
        <f>IEPSGASINCREMENTO!F12+'IEPSGAS ESTIMACIONES'!F12</f>
        <v>168105.84027485276</v>
      </c>
      <c r="G9" s="647">
        <f>IEPSGASINCREMENTO!G12+'IEPSGAS ESTIMACIONES'!G12</f>
        <v>164389.30502550805</v>
      </c>
      <c r="H9" s="647">
        <f>IEPSGASINCREMENTO!H12+'IEPSGAS ESTIMACIONES'!H12</f>
        <v>171508.8524674674</v>
      </c>
      <c r="I9" s="647">
        <f>IEPSGASINCREMENTO!I12+'IEPSGAS ESTIMACIONES'!I12</f>
        <v>161547.09209941007</v>
      </c>
      <c r="J9" s="647">
        <f>IEPSGASINCREMENTO!J12+'IEPSGAS ESTIMACIONES'!J12</f>
        <v>169741.08220015801</v>
      </c>
      <c r="K9" s="647">
        <f>IEPSGASINCREMENTO!K12+'IEPSGAS ESTIMACIONES'!K12</f>
        <v>169296.70799076493</v>
      </c>
      <c r="L9" s="647">
        <f>IEPSGASINCREMENTO!L12+'IEPSGAS ESTIMACIONES'!L12</f>
        <v>158847.7478720838</v>
      </c>
      <c r="M9" s="647">
        <f>IEPSGASINCREMENTO!M12+'IEPSGAS ESTIMACIONES'!M12</f>
        <v>168038.4064130703</v>
      </c>
      <c r="N9" s="647">
        <f>IEPSGASINCREMENTO!N12+'IEPSGAS ESTIMACIONES'!N12</f>
        <v>166893.51283558685</v>
      </c>
      <c r="O9" s="648">
        <f t="shared" si="0"/>
        <v>1946248.9088275097</v>
      </c>
      <c r="P9" s="649"/>
    </row>
    <row r="10" spans="1:16" x14ac:dyDescent="0.2">
      <c r="A10" s="645" t="s">
        <v>152</v>
      </c>
      <c r="B10" s="657"/>
      <c r="C10" s="647">
        <f>IEPSGASINCREMENTO!C13+'IEPSGAS ESTIMACIONES'!C13</f>
        <v>44298.403144431089</v>
      </c>
      <c r="D10" s="647">
        <f>IEPSGASINCREMENTO!D13+'IEPSGAS ESTIMACIONES'!D13</f>
        <v>49546.876017266957</v>
      </c>
      <c r="E10" s="647">
        <f>IEPSGASINCREMENTO!E13+'IEPSGAS ESTIMACIONES'!E13</f>
        <v>47737.251522737337</v>
      </c>
      <c r="F10" s="647">
        <f>IEPSGASINCREMENTO!F13+'IEPSGAS ESTIMACIONES'!F13</f>
        <v>52427.134781565495</v>
      </c>
      <c r="G10" s="647">
        <f>IEPSGASINCREMENTO!G13+'IEPSGAS ESTIMACIONES'!G13</f>
        <v>52089.719011805959</v>
      </c>
      <c r="H10" s="647">
        <f>IEPSGASINCREMENTO!H13+'IEPSGAS ESTIMACIONES'!H13</f>
        <v>53535.843097810226</v>
      </c>
      <c r="I10" s="647">
        <f>IEPSGASINCREMENTO!I13+'IEPSGAS ESTIMACIONES'!I13</f>
        <v>51319.38268127793</v>
      </c>
      <c r="J10" s="647">
        <f>IEPSGASINCREMENTO!J13+'IEPSGAS ESTIMACIONES'!J13</f>
        <v>53354.837694612885</v>
      </c>
      <c r="K10" s="647">
        <f>IEPSGASINCREMENTO!K13+'IEPSGAS ESTIMACIONES'!K13</f>
        <v>52794.772769319985</v>
      </c>
      <c r="L10" s="647">
        <f>IEPSGASINCREMENTO!L13+'IEPSGAS ESTIMACIONES'!L13</f>
        <v>50594.893824070132</v>
      </c>
      <c r="M10" s="647">
        <f>IEPSGASINCREMENTO!M13+'IEPSGAS ESTIMACIONES'!M13</f>
        <v>52599.581423047734</v>
      </c>
      <c r="N10" s="647">
        <f>IEPSGASINCREMENTO!N13+'IEPSGAS ESTIMACIONES'!N13</f>
        <v>49829.606486532648</v>
      </c>
      <c r="O10" s="648">
        <f t="shared" si="0"/>
        <v>610128.30245447834</v>
      </c>
      <c r="P10" s="649"/>
    </row>
    <row r="11" spans="1:16" x14ac:dyDescent="0.2">
      <c r="A11" s="645" t="s">
        <v>153</v>
      </c>
      <c r="B11" s="657"/>
      <c r="C11" s="647">
        <f>IEPSGASINCREMENTO!C14+'IEPSGAS ESTIMACIONES'!C14</f>
        <v>107634.80122785769</v>
      </c>
      <c r="D11" s="647">
        <f>IEPSGASINCREMENTO!D14+'IEPSGAS ESTIMACIONES'!D14</f>
        <v>120217.72545699883</v>
      </c>
      <c r="E11" s="647">
        <f>IEPSGASINCREMENTO!E14+'IEPSGAS ESTIMACIONES'!E14</f>
        <v>116089.50389184088</v>
      </c>
      <c r="F11" s="647">
        <f>IEPSGASINCREMENTO!F14+'IEPSGAS ESTIMACIONES'!F14</f>
        <v>127254.86821447493</v>
      </c>
      <c r="G11" s="647">
        <f>IEPSGASINCREMENTO!G14+'IEPSGAS ESTIMACIONES'!G14</f>
        <v>126558.04727589712</v>
      </c>
      <c r="H11" s="647">
        <f>IEPSGASINCREMENTO!H14+'IEPSGAS ESTIMACIONES'!H14</f>
        <v>129953.05382893431</v>
      </c>
      <c r="I11" s="647">
        <f>IEPSGASINCREMENTO!I14+'IEPSGAS ESTIMACIONES'!I14</f>
        <v>124705.49059796761</v>
      </c>
      <c r="J11" s="647">
        <f>IEPSGASINCREMENTO!J14+'IEPSGAS ESTIMACIONES'!J14</f>
        <v>129568.7685951457</v>
      </c>
      <c r="K11" s="647">
        <f>IEPSGASINCREMENTO!K14+'IEPSGAS ESTIMACIONES'!K14</f>
        <v>128146.66651262103</v>
      </c>
      <c r="L11" s="647">
        <f>IEPSGASINCREMENTO!L14+'IEPSGAS ESTIMACIONES'!L14</f>
        <v>122964.41014065704</v>
      </c>
      <c r="M11" s="647">
        <f>IEPSGASINCREMENTO!M14+'IEPSGAS ESTIMACIONES'!M14</f>
        <v>127702.21252015443</v>
      </c>
      <c r="N11" s="647">
        <f>IEPSGASINCREMENTO!N14+'IEPSGAS ESTIMACIONES'!N14</f>
        <v>120619.93795484709</v>
      </c>
      <c r="O11" s="648">
        <f t="shared" si="0"/>
        <v>1481415.4862173966</v>
      </c>
      <c r="P11" s="649"/>
    </row>
    <row r="12" spans="1:16" x14ac:dyDescent="0.2">
      <c r="A12" s="645" t="s">
        <v>154</v>
      </c>
      <c r="B12" s="657"/>
      <c r="C12" s="647">
        <f>IEPSGASINCREMENTO!C15+'IEPSGAS ESTIMACIONES'!C15</f>
        <v>68092.466812336876</v>
      </c>
      <c r="D12" s="647">
        <f>IEPSGASINCREMENTO!D15+'IEPSGAS ESTIMACIONES'!D15</f>
        <v>76372.343583303664</v>
      </c>
      <c r="E12" s="647">
        <f>IEPSGASINCREMENTO!E15+'IEPSGAS ESTIMACIONES'!E15</f>
        <v>73254.415861096888</v>
      </c>
      <c r="F12" s="647">
        <f>IEPSGASINCREMENTO!F15+'IEPSGAS ESTIMACIONES'!F15</f>
        <v>80751.145825434651</v>
      </c>
      <c r="G12" s="647">
        <f>IEPSGASINCREMENTO!G15+'IEPSGAS ESTIMACIONES'!G15</f>
        <v>80078.549683418154</v>
      </c>
      <c r="H12" s="647">
        <f>IEPSGASINCREMENTO!H15+'IEPSGAS ESTIMACIONES'!H15</f>
        <v>82450.017038852515</v>
      </c>
      <c r="I12" s="647">
        <f>IEPSGASINCREMENTO!I15+'IEPSGAS ESTIMACIONES'!I15</f>
        <v>78870.438891034239</v>
      </c>
      <c r="J12" s="647">
        <f>IEPSGASINCREMENTO!J15+'IEPSGAS ESTIMACIONES'!J15</f>
        <v>82102.317566219659</v>
      </c>
      <c r="K12" s="647">
        <f>IEPSGASINCREMENTO!K15+'IEPSGAS ESTIMACIONES'!K15</f>
        <v>81318.101209714005</v>
      </c>
      <c r="L12" s="647">
        <f>IEPSGASINCREMENTO!L15+'IEPSGAS ESTIMACIONES'!L15</f>
        <v>77732.704659521987</v>
      </c>
      <c r="M12" s="647">
        <f>IEPSGASINCREMENTO!M15+'IEPSGAS ESTIMACIONES'!M15</f>
        <v>80980.756405922497</v>
      </c>
      <c r="N12" s="647">
        <f>IEPSGASINCREMENTO!N15+'IEPSGAS ESTIMACIONES'!N15</f>
        <v>77163.271686200926</v>
      </c>
      <c r="O12" s="648">
        <f t="shared" si="0"/>
        <v>939166.52922305581</v>
      </c>
      <c r="P12" s="649"/>
    </row>
    <row r="13" spans="1:16" x14ac:dyDescent="0.2">
      <c r="A13" s="645" t="s">
        <v>155</v>
      </c>
      <c r="B13" s="657"/>
      <c r="C13" s="647">
        <f>IEPSGASINCREMENTO!C16+'IEPSGAS ESTIMACIONES'!C16</f>
        <v>50430.752332677279</v>
      </c>
      <c r="D13" s="647">
        <f>IEPSGASINCREMENTO!D16+'IEPSGAS ESTIMACIONES'!D16</f>
        <v>56322.792213518922</v>
      </c>
      <c r="E13" s="647">
        <f>IEPSGASINCREMENTO!E16+'IEPSGAS ESTIMACIONES'!E16</f>
        <v>54394.133246307974</v>
      </c>
      <c r="F13" s="647">
        <f>IEPSGASINCREMENTO!F16+'IEPSGAS ESTIMACIONES'!F16</f>
        <v>59620.747646974487</v>
      </c>
      <c r="G13" s="647">
        <f>IEPSGASINCREMENTO!G16+'IEPSGAS ESTIMACIONES'!G16</f>
        <v>59296.807470778818</v>
      </c>
      <c r="H13" s="647">
        <f>IEPSGASINCREMENTO!H16+'IEPSGAS ESTIMACIONES'!H16</f>
        <v>60885.032677553841</v>
      </c>
      <c r="I13" s="647">
        <f>IEPSGASINCREMENTO!I16+'IEPSGAS ESTIMACIONES'!I16</f>
        <v>58429.215303463105</v>
      </c>
      <c r="J13" s="647">
        <f>IEPSGASINCREMENTO!J16+'IEPSGAS ESTIMACIONES'!J16</f>
        <v>60706.129948070578</v>
      </c>
      <c r="K13" s="647">
        <f>IEPSGASINCREMENTO!K16+'IEPSGAS ESTIMACIONES'!K16</f>
        <v>60038.556484749788</v>
      </c>
      <c r="L13" s="647">
        <f>IEPSGASINCREMENTO!L16+'IEPSGAS ESTIMACIONES'!L16</f>
        <v>57613.855335120446</v>
      </c>
      <c r="M13" s="647">
        <f>IEPSGASINCREMENTO!M16+'IEPSGAS ESTIMACIONES'!M16</f>
        <v>59830.930793833599</v>
      </c>
      <c r="N13" s="647">
        <f>IEPSGASINCREMENTO!N16+'IEPSGAS ESTIMACIONES'!N16</f>
        <v>56505.351428225789</v>
      </c>
      <c r="O13" s="648">
        <f t="shared" si="0"/>
        <v>694074.30488127458</v>
      </c>
      <c r="P13" s="649"/>
    </row>
    <row r="14" spans="1:16" x14ac:dyDescent="0.2">
      <c r="A14" s="645" t="s">
        <v>156</v>
      </c>
      <c r="B14" s="657"/>
      <c r="C14" s="647">
        <f>IEPSGASINCREMENTO!C17+'IEPSGAS ESTIMACIONES'!C17</f>
        <v>131794.07738412818</v>
      </c>
      <c r="D14" s="647">
        <f>IEPSGASINCREMENTO!D17+'IEPSGAS ESTIMACIONES'!D17</f>
        <v>146262.36143199372</v>
      </c>
      <c r="E14" s="647">
        <f>IEPSGASINCREMENTO!E17+'IEPSGAS ESTIMACIONES'!E17</f>
        <v>142695.00879683183</v>
      </c>
      <c r="F14" s="647">
        <f>IEPSGASINCREMENTO!F17+'IEPSGAS ESTIMACIONES'!F17</f>
        <v>155093.70327540819</v>
      </c>
      <c r="G14" s="647">
        <f>IEPSGASINCREMENTO!G17+'IEPSGAS ESTIMACIONES'!G17</f>
        <v>154921.38418104968</v>
      </c>
      <c r="H14" s="647">
        <f>IEPSGASINCREMENTO!H17+'IEPSGAS ESTIMACIONES'!H17</f>
        <v>158421.21688927396</v>
      </c>
      <c r="I14" s="647">
        <f>IEPSGASINCREMENTO!I17+'IEPSGAS ESTIMACIONES'!I17</f>
        <v>152759.17587521032</v>
      </c>
      <c r="J14" s="647">
        <f>IEPSGASINCREMENTO!J17+'IEPSGAS ESTIMACIONES'!J17</f>
        <v>158257.95044473163</v>
      </c>
      <c r="K14" s="647">
        <f>IEPSGASINCREMENTO!K17+'IEPSGAS ESTIMACIONES'!K17</f>
        <v>156177.49944294366</v>
      </c>
      <c r="L14" s="647">
        <f>IEPSGASINCREMENTO!L17+'IEPSGAS ESTIMACIONES'!L17</f>
        <v>150733.89446999403</v>
      </c>
      <c r="M14" s="647">
        <f>IEPSGASINCREMENTO!M17+'IEPSGAS ESTIMACIONES'!M17</f>
        <v>155798.31090441637</v>
      </c>
      <c r="N14" s="647">
        <f>IEPSGASINCREMENTO!N17+'IEPSGAS ESTIMACIONES'!N17</f>
        <v>145178.75379808841</v>
      </c>
      <c r="O14" s="648">
        <f t="shared" si="0"/>
        <v>1808093.3368940703</v>
      </c>
      <c r="P14" s="649"/>
    </row>
    <row r="15" spans="1:16" x14ac:dyDescent="0.2">
      <c r="A15" s="645" t="s">
        <v>157</v>
      </c>
      <c r="B15" s="657"/>
      <c r="C15" s="647">
        <f>IEPSGASINCREMENTO!C18+'IEPSGAS ESTIMACIONES'!C18</f>
        <v>87963.249116352716</v>
      </c>
      <c r="D15" s="647">
        <f>IEPSGASINCREMENTO!D18+'IEPSGAS ESTIMACIONES'!D18</f>
        <v>98308.217196151978</v>
      </c>
      <c r="E15" s="647">
        <f>IEPSGASINCREMENTO!E18+'IEPSGAS ESTIMACIONES'!E18</f>
        <v>94836.695089447327</v>
      </c>
      <c r="F15" s="647">
        <f>IEPSGASINCREMENTO!F18+'IEPSGAS ESTIMACIONES'!F18</f>
        <v>104045.12577154343</v>
      </c>
      <c r="G15" s="647">
        <f>IEPSGASINCREMENTO!G18+'IEPSGAS ESTIMACIONES'!G18</f>
        <v>103430.8961442962</v>
      </c>
      <c r="H15" s="647">
        <f>IEPSGASINCREMENTO!H18+'IEPSGAS ESTIMACIONES'!H18</f>
        <v>106248.62732882953</v>
      </c>
      <c r="I15" s="647">
        <f>IEPSGASINCREMENTO!I18+'IEPSGAS ESTIMACIONES'!I18</f>
        <v>101909.93737578257</v>
      </c>
      <c r="J15" s="647">
        <f>IEPSGASINCREMENTO!J18+'IEPSGAS ESTIMACIONES'!J18</f>
        <v>105914.3754498412</v>
      </c>
      <c r="K15" s="647">
        <f>IEPSGASINCREMENTO!K18+'IEPSGAS ESTIMACIONES'!K18</f>
        <v>104774.4744042535</v>
      </c>
      <c r="L15" s="647">
        <f>IEPSGASINCREMENTO!L18+'IEPSGAS ESTIMACIONES'!L18</f>
        <v>100480.05299747048</v>
      </c>
      <c r="M15" s="647">
        <f>IEPSGASINCREMENTO!M18+'IEPSGAS ESTIMACIONES'!M18</f>
        <v>104400.40134823715</v>
      </c>
      <c r="N15" s="647">
        <f>IEPSGASINCREMENTO!N18+'IEPSGAS ESTIMACIONES'!N18</f>
        <v>98740.529175431788</v>
      </c>
      <c r="O15" s="648">
        <f t="shared" si="0"/>
        <v>1211052.5813976377</v>
      </c>
      <c r="P15" s="649"/>
    </row>
    <row r="16" spans="1:16" x14ac:dyDescent="0.2">
      <c r="A16" s="645" t="s">
        <v>158</v>
      </c>
      <c r="B16" s="657"/>
      <c r="C16" s="647">
        <f>IEPSGASINCREMENTO!C19+'IEPSGAS ESTIMACIONES'!C19</f>
        <v>155787.98175388604</v>
      </c>
      <c r="D16" s="647">
        <f>IEPSGASINCREMENTO!D19+'IEPSGAS ESTIMACIONES'!D19</f>
        <v>173638.72339369106</v>
      </c>
      <c r="E16" s="647">
        <f>IEPSGASINCREMENTO!E19+'IEPSGAS ESTIMACIONES'!E19</f>
        <v>168236.27956909113</v>
      </c>
      <c r="F16" s="647">
        <f>IEPSGASINCREMENTO!F19+'IEPSGAS ESTIMACIONES'!F19</f>
        <v>183906.7550466875</v>
      </c>
      <c r="G16" s="647">
        <f>IEPSGASINCREMENTO!G19+'IEPSGAS ESTIMACIONES'!G19</f>
        <v>183160.32731013311</v>
      </c>
      <c r="H16" s="647">
        <f>IEPSGASINCREMENTO!H19+'IEPSGAS ESTIMACIONES'!H19</f>
        <v>187821.16851421789</v>
      </c>
      <c r="I16" s="647">
        <f>IEPSGASINCREMENTO!I19+'IEPSGAS ESTIMACIONES'!I19</f>
        <v>180519.85345488152</v>
      </c>
      <c r="J16" s="647">
        <f>IEPSGASINCREMENTO!J19+'IEPSGAS ESTIMACIONES'!J19</f>
        <v>187383.25691078542</v>
      </c>
      <c r="K16" s="647">
        <f>IEPSGASINCREMENTO!K19+'IEPSGAS ESTIMACIONES'!K19</f>
        <v>185194.37623564637</v>
      </c>
      <c r="L16" s="647">
        <f>IEPSGASINCREMENTO!L19+'IEPSGAS ESTIMACIONES'!L19</f>
        <v>178040.89278027014</v>
      </c>
      <c r="M16" s="647">
        <f>IEPSGASINCREMENTO!M19+'IEPSGAS ESTIMACIONES'!M19</f>
        <v>184614.615564418</v>
      </c>
      <c r="N16" s="647">
        <f>IEPSGASINCREMENTO!N19+'IEPSGAS ESTIMACIONES'!N19</f>
        <v>173614.11367766006</v>
      </c>
      <c r="O16" s="648">
        <f t="shared" si="0"/>
        <v>2141918.3442113684</v>
      </c>
      <c r="P16" s="649"/>
    </row>
    <row r="17" spans="1:17" x14ac:dyDescent="0.2">
      <c r="A17" s="645" t="s">
        <v>285</v>
      </c>
      <c r="B17" s="657"/>
      <c r="C17" s="647">
        <f>IEPSGASINCREMENTO!C20+'IEPSGAS ESTIMACIONES'!C20</f>
        <v>29395.089478217913</v>
      </c>
      <c r="D17" s="647">
        <f>IEPSGASINCREMENTO!D20+'IEPSGAS ESTIMACIONES'!D20</f>
        <v>32701.908087240314</v>
      </c>
      <c r="E17" s="647">
        <f>IEPSGASINCREMENTO!E20+'IEPSGAS ESTIMACIONES'!E20</f>
        <v>31779.769711755675</v>
      </c>
      <c r="F17" s="647">
        <f>IEPSGASINCREMENTO!F20+'IEPSGAS ESTIMACIONES'!F20</f>
        <v>34653.379162044541</v>
      </c>
      <c r="G17" s="647">
        <f>IEPSGASINCREMENTO!G20+'IEPSGAS ESTIMACIONES'!G20</f>
        <v>34557.04638237843</v>
      </c>
      <c r="H17" s="647">
        <f>IEPSGASINCREMENTO!H20+'IEPSGAS ESTIMACIONES'!H20</f>
        <v>35393.525585658295</v>
      </c>
      <c r="I17" s="647">
        <f>IEPSGASINCREMENTO!I20+'IEPSGAS ESTIMACIONES'!I20</f>
        <v>34065.764217893076</v>
      </c>
      <c r="J17" s="647">
        <f>IEPSGASINCREMENTO!J20+'IEPSGAS ESTIMACIONES'!J20</f>
        <v>35330.982780616825</v>
      </c>
      <c r="K17" s="647">
        <f>IEPSGASINCREMENTO!K20+'IEPSGAS ESTIMACIONES'!K20</f>
        <v>34895.80175797861</v>
      </c>
      <c r="L17" s="647">
        <f>IEPSGASINCREMENTO!L20+'IEPSGAS ESTIMACIONES'!L20</f>
        <v>33604.985463958772</v>
      </c>
      <c r="M17" s="647">
        <f>IEPSGASINCREMENTO!M20+'IEPSGAS ESTIMACIONES'!M20</f>
        <v>34797.195788259749</v>
      </c>
      <c r="N17" s="647">
        <f>IEPSGASINCREMENTO!N20+'IEPSGAS ESTIMACIONES'!N20</f>
        <v>32594.241590764541</v>
      </c>
      <c r="O17" s="648">
        <f t="shared" si="0"/>
        <v>403769.6900067667</v>
      </c>
      <c r="P17" s="649"/>
    </row>
    <row r="18" spans="1:17" x14ac:dyDescent="0.2">
      <c r="A18" s="645" t="s">
        <v>286</v>
      </c>
      <c r="B18" s="657"/>
      <c r="C18" s="647">
        <f>IEPSGASINCREMENTO!C21+'IEPSGAS ESTIMACIONES'!C21</f>
        <v>90797.246870375297</v>
      </c>
      <c r="D18" s="647">
        <f>IEPSGASINCREMENTO!D21+'IEPSGAS ESTIMACIONES'!D21</f>
        <v>101491.24082709782</v>
      </c>
      <c r="E18" s="647">
        <f>IEPSGASINCREMENTO!E21+'IEPSGAS ESTIMACIONES'!E21</f>
        <v>97882.951017445361</v>
      </c>
      <c r="F18" s="647">
        <f>IEPSGASINCREMENTO!F21+'IEPSGAS ESTIMACIONES'!F21</f>
        <v>107409.38422560073</v>
      </c>
      <c r="G18" s="647">
        <f>IEPSGASINCREMENTO!G21+'IEPSGAS ESTIMACIONES'!G21</f>
        <v>106763.95690498114</v>
      </c>
      <c r="H18" s="647">
        <f>IEPSGASINCREMENTO!H21+'IEPSGAS ESTIMACIONES'!H21</f>
        <v>109683.48098421305</v>
      </c>
      <c r="I18" s="647">
        <f>IEPSGASINCREMENTO!I21+'IEPSGAS ESTIMACIONES'!I21</f>
        <v>105192.21713948098</v>
      </c>
      <c r="J18" s="647">
        <f>IEPSGASINCREMENTO!J21+'IEPSGAS ESTIMACIONES'!J21</f>
        <v>109333.31187812531</v>
      </c>
      <c r="K18" s="647">
        <f>IEPSGASINCREMENTO!K21+'IEPSGAS ESTIMACIONES'!K21</f>
        <v>108162.36790772044</v>
      </c>
      <c r="L18" s="647">
        <f>IEPSGASINCREMENTO!L21+'IEPSGAS ESTIMACIONES'!L21</f>
        <v>103714.47880587948</v>
      </c>
      <c r="M18" s="647">
        <f>IEPSGASINCREMENTO!M21+'IEPSGAS ESTIMACIONES'!M21</f>
        <v>107773.47800324687</v>
      </c>
      <c r="N18" s="647">
        <f>IEPSGASINCREMENTO!N21+'IEPSGAS ESTIMACIONES'!N21</f>
        <v>101963.88822557277</v>
      </c>
      <c r="O18" s="648">
        <f t="shared" si="0"/>
        <v>1250168.0027897391</v>
      </c>
      <c r="P18" s="649"/>
    </row>
    <row r="19" spans="1:17" x14ac:dyDescent="0.2">
      <c r="A19" s="645" t="s">
        <v>287</v>
      </c>
      <c r="B19" s="657"/>
      <c r="C19" s="647">
        <f>IEPSGASINCREMENTO!C22+'IEPSGAS ESTIMACIONES'!C22</f>
        <v>350822.37658751721</v>
      </c>
      <c r="D19" s="647">
        <f>IEPSGASINCREMENTO!D22+'IEPSGAS ESTIMACIONES'!D22</f>
        <v>391218.42164223758</v>
      </c>
      <c r="E19" s="647">
        <f>IEPSGASINCREMENTO!E22+'IEPSGAS ESTIMACIONES'!E22</f>
        <v>378739.55592683685</v>
      </c>
      <c r="F19" s="647">
        <f>IEPSGASINCREMENTO!F22+'IEPSGAS ESTIMACIONES'!F22</f>
        <v>414296.05813253112</v>
      </c>
      <c r="G19" s="647">
        <f>IEPSGASINCREMENTO!G22+'IEPSGAS ESTIMACIONES'!G22</f>
        <v>412471.88924939715</v>
      </c>
      <c r="H19" s="647">
        <f>IEPSGASINCREMENTO!H22+'IEPSGAS ESTIMACIONES'!H22</f>
        <v>423106.02411745116</v>
      </c>
      <c r="I19" s="647">
        <f>IEPSGASINCREMENTO!I22+'IEPSGAS ESTIMACIONES'!I22</f>
        <v>406503.40951797052</v>
      </c>
      <c r="J19" s="647">
        <f>IEPSGASINCREMENTO!J22+'IEPSGAS ESTIMACIONES'!J22</f>
        <v>422055.22689686465</v>
      </c>
      <c r="K19" s="647">
        <f>IEPSGASINCREMENTO!K22+'IEPSGAS ESTIMACIONES'!K22</f>
        <v>417197.39997146546</v>
      </c>
      <c r="L19" s="647">
        <f>IEPSGASINCREMENTO!L22+'IEPSGAS ESTIMACIONES'!L22</f>
        <v>400898.5545603091</v>
      </c>
      <c r="M19" s="647">
        <f>IEPSGASINCREMENTO!M22+'IEPSGAS ESTIMACIONES'!M22</f>
        <v>415857.10058809537</v>
      </c>
      <c r="N19" s="647">
        <f>IEPSGASINCREMENTO!N22+'IEPSGAS ESTIMACIONES'!N22</f>
        <v>391494.6344364158</v>
      </c>
      <c r="O19" s="648">
        <f t="shared" si="0"/>
        <v>4824660.6516270917</v>
      </c>
      <c r="P19" s="649"/>
    </row>
    <row r="20" spans="1:17" x14ac:dyDescent="0.2">
      <c r="A20" s="645" t="s">
        <v>162</v>
      </c>
      <c r="B20" s="657"/>
      <c r="C20" s="647">
        <f>IEPSGASINCREMENTO!C23+'IEPSGAS ESTIMACIONES'!C23</f>
        <v>150847.16599249578</v>
      </c>
      <c r="D20" s="647">
        <f>IEPSGASINCREMENTO!D23+'IEPSGAS ESTIMACIONES'!D23</f>
        <v>166884.52205086948</v>
      </c>
      <c r="E20" s="647">
        <f>IEPSGASINCREMENTO!E23+'IEPSGAS ESTIMACIONES'!E23</f>
        <v>163629.28753946244</v>
      </c>
      <c r="F20" s="647">
        <f>IEPSGASINCREMENTO!F23+'IEPSGAS ESTIMACIONES'!F23</f>
        <v>177112.05826251919</v>
      </c>
      <c r="G20" s="647">
        <f>IEPSGASINCREMENTO!G23+'IEPSGAS ESTIMACIONES'!G23</f>
        <v>177293.78054674892</v>
      </c>
      <c r="H20" s="647">
        <f>IEPSGASINCREMENTO!H23+'IEPSGAS ESTIMACIONES'!H23</f>
        <v>180933.81318655418</v>
      </c>
      <c r="I20" s="647">
        <f>IEPSGASINCREMENTO!I23+'IEPSGAS ESTIMACIONES'!I23</f>
        <v>174878.0736901967</v>
      </c>
      <c r="J20" s="647">
        <f>IEPSGASINCREMENTO!J23+'IEPSGAS ESTIMACIONES'!J23</f>
        <v>180917.95437011647</v>
      </c>
      <c r="K20" s="647">
        <f>IEPSGASINCREMENTO!K23+'IEPSGAS ESTIMACIONES'!K23</f>
        <v>178347.98787406154</v>
      </c>
      <c r="L20" s="647">
        <f>IEPSGASINCREMENTO!L23+'IEPSGAS ESTIMACIONES'!L23</f>
        <v>172619.32771342754</v>
      </c>
      <c r="M20" s="647">
        <f>IEPSGASINCREMENTO!M23+'IEPSGAS ESTIMACIONES'!M23</f>
        <v>178005.82480741231</v>
      </c>
      <c r="N20" s="647">
        <f>IEPSGASINCREMENTO!N23+'IEPSGAS ESTIMACIONES'!N23</f>
        <v>164767.09632280376</v>
      </c>
      <c r="O20" s="648">
        <f t="shared" si="0"/>
        <v>2066236.8923566681</v>
      </c>
      <c r="P20" s="649"/>
    </row>
    <row r="21" spans="1:17" x14ac:dyDescent="0.2">
      <c r="A21" s="645" t="s">
        <v>163</v>
      </c>
      <c r="B21" s="659"/>
      <c r="C21" s="647">
        <f>IEPSGASINCREMENTO!C24+'IEPSGAS ESTIMACIONES'!C24</f>
        <v>1446505.2373417006</v>
      </c>
      <c r="D21" s="647">
        <f>IEPSGASINCREMENTO!D24+'IEPSGAS ESTIMACIONES'!D24</f>
        <v>1628694.7568531735</v>
      </c>
      <c r="E21" s="647">
        <f>IEPSGASINCREMENTO!E24+'IEPSGAS ESTIMACIONES'!E24</f>
        <v>1552482.6042459384</v>
      </c>
      <c r="F21" s="647">
        <f>IEPSGASINCREMENTO!F24+'IEPSGAS ESTIMACIONES'!F24</f>
        <v>1720274.8415788552</v>
      </c>
      <c r="G21" s="647">
        <f>IEPSGASINCREMENTO!G24+'IEPSGAS ESTIMACIONES'!G24</f>
        <v>1701419.5217256835</v>
      </c>
      <c r="H21" s="647">
        <f>IEPSGASINCREMENTO!H24+'IEPSGAS ESTIMACIONES'!H24</f>
        <v>1756205.3907954802</v>
      </c>
      <c r="I21" s="647">
        <f>IEPSGASINCREMENTO!I24+'IEPSGAS ESTIMACIONES'!I24</f>
        <v>1675043.215070189</v>
      </c>
      <c r="J21" s="647">
        <f>IEPSGASINCREMENTO!J24+'IEPSGAS ESTIMACIONES'!J24</f>
        <v>1746758.0820118203</v>
      </c>
      <c r="K21" s="647">
        <f>IEPSGASINCREMENTO!K24+'IEPSGAS ESTIMACIONES'!K24</f>
        <v>1732373.6271533435</v>
      </c>
      <c r="L21" s="647">
        <f>IEPSGASINCREMENTO!L24+'IEPSGAS ESTIMACIONES'!L24</f>
        <v>1650159.056541482</v>
      </c>
      <c r="M21" s="647">
        <f>IEPSGASINCREMENTO!M24+'IEPSGAS ESTIMACIONES'!M24</f>
        <v>1724100.4154413831</v>
      </c>
      <c r="N21" s="647">
        <f>IEPSGASINCREMENTO!N24+'IEPSGAS ESTIMACIONES'!N24</f>
        <v>1656068.3373260912</v>
      </c>
      <c r="O21" s="648">
        <f t="shared" si="0"/>
        <v>19990085.086085141</v>
      </c>
      <c r="P21" s="649"/>
      <c r="Q21" s="649"/>
    </row>
    <row r="22" spans="1:17" x14ac:dyDescent="0.2">
      <c r="A22" s="645" t="s">
        <v>164</v>
      </c>
      <c r="B22" s="659"/>
      <c r="C22" s="647">
        <f>IEPSGASINCREMENTO!C25+'IEPSGAS ESTIMACIONES'!C25</f>
        <v>116963.27606695864</v>
      </c>
      <c r="D22" s="647">
        <f>IEPSGASINCREMENTO!D25+'IEPSGAS ESTIMACIONES'!D25</f>
        <v>129915.01773915043</v>
      </c>
      <c r="E22" s="647">
        <f>IEPSGASINCREMENTO!E25+'IEPSGAS ESTIMACIONES'!E25</f>
        <v>126572.34425817033</v>
      </c>
      <c r="F22" s="647">
        <f>IEPSGASINCREMENTO!F25+'IEPSGAS ESTIMACIONES'!F25</f>
        <v>137727.05864347349</v>
      </c>
      <c r="G22" s="647">
        <f>IEPSGASINCREMENTO!G25+'IEPSGAS ESTIMACIONES'!G25</f>
        <v>137493.21885926396</v>
      </c>
      <c r="H22" s="647">
        <f>IEPSGASINCREMENTO!H25+'IEPSGAS ESTIMACIONES'!H25</f>
        <v>140677.31006374216</v>
      </c>
      <c r="I22" s="647">
        <f>IEPSGASINCREMENTO!I25+'IEPSGAS ESTIMACIONES'!I25</f>
        <v>135561.70846764772</v>
      </c>
      <c r="J22" s="647">
        <f>IEPSGASINCREMENTO!J25+'IEPSGAS ESTIMACIONES'!J25</f>
        <v>140495.90285791544</v>
      </c>
      <c r="K22" s="647">
        <f>IEPSGASINCREMENTO!K25+'IEPSGAS ESTIMACIONES'!K25</f>
        <v>138689.86614093048</v>
      </c>
      <c r="L22" s="647">
        <f>IEPSGASINCREMENTO!L25+'IEPSGAS ESTIMACIONES'!L25</f>
        <v>133751.6655797158</v>
      </c>
      <c r="M22" s="647">
        <f>IEPSGASINCREMENTO!M25+'IEPSGAS ESTIMACIONES'!M25</f>
        <v>138333.73782214517</v>
      </c>
      <c r="N22" s="647">
        <f>IEPSGASINCREMENTO!N25+'IEPSGAS ESTIMACIONES'!N25</f>
        <v>129140.63538080765</v>
      </c>
      <c r="O22" s="648">
        <f t="shared" si="0"/>
        <v>1605321.7418799212</v>
      </c>
      <c r="P22" s="649"/>
      <c r="Q22" s="649"/>
    </row>
    <row r="23" spans="1:17" ht="13.5" thickBot="1" x14ac:dyDescent="0.25">
      <c r="A23" s="645" t="s">
        <v>165</v>
      </c>
      <c r="B23" s="658"/>
      <c r="C23" s="647">
        <f>IEPSGASINCREMENTO!C26+'IEPSGAS ESTIMACIONES'!C26</f>
        <v>194637.88655914218</v>
      </c>
      <c r="D23" s="647">
        <f>IEPSGASINCREMENTO!D26+'IEPSGAS ESTIMACIONES'!D26</f>
        <v>222373.51620072749</v>
      </c>
      <c r="E23" s="647">
        <f>IEPSGASINCREMENTO!E26+'IEPSGAS ESTIMACIONES'!E26</f>
        <v>207016.44471949028</v>
      </c>
      <c r="F23" s="647">
        <f>IEPSGASINCREMENTO!F26+'IEPSGAS ESTIMACIONES'!F26</f>
        <v>233959.94977187872</v>
      </c>
      <c r="G23" s="647">
        <f>IEPSGASINCREMENTO!G26+'IEPSGAS ESTIMACIONES'!G26</f>
        <v>229087.25371847994</v>
      </c>
      <c r="H23" s="647">
        <f>IEPSGASINCREMENTO!H26+'IEPSGAS ESTIMACIONES'!H26</f>
        <v>238713.36152961472</v>
      </c>
      <c r="I23" s="647">
        <f>IEPSGASINCREMENTO!I26+'IEPSGAS ESTIMACIONES'!I26</f>
        <v>225173.96983992311</v>
      </c>
      <c r="J23" s="647">
        <f>IEPSGASINCREMENTO!J26+'IEPSGAS ESTIMACIONES'!J26</f>
        <v>236388.17942556602</v>
      </c>
      <c r="K23" s="647">
        <f>IEPSGASINCREMENTO!K26+'IEPSGAS ESTIMACIONES'!K26</f>
        <v>235615.95942858723</v>
      </c>
      <c r="L23" s="647">
        <f>IEPSGASINCREMENTO!L26+'IEPSGAS ESTIMACIONES'!L26</f>
        <v>221459.99332674369</v>
      </c>
      <c r="M23" s="647">
        <f>IEPSGASINCREMENTO!M26+'IEPSGAS ESTIMACIONES'!M26</f>
        <v>233936.68458820879</v>
      </c>
      <c r="N23" s="647">
        <f>IEPSGASINCREMENTO!N26+'IEPSGAS ESTIMACIONES'!N26</f>
        <v>231462.99538290253</v>
      </c>
      <c r="O23" s="648">
        <f t="shared" si="0"/>
        <v>2709826.1944912649</v>
      </c>
      <c r="P23" s="649"/>
    </row>
    <row r="24" spans="1:17" ht="13.5" thickBot="1" x14ac:dyDescent="0.25">
      <c r="A24" s="650" t="s">
        <v>288</v>
      </c>
      <c r="B24" s="651">
        <f t="shared" ref="B24:O24" si="1">SUM(B4:B23)</f>
        <v>0</v>
      </c>
      <c r="C24" s="652">
        <f t="shared" si="1"/>
        <v>4114313.5662639057</v>
      </c>
      <c r="D24" s="652">
        <f t="shared" si="1"/>
        <v>4642277.8683509538</v>
      </c>
      <c r="E24" s="652">
        <f t="shared" si="1"/>
        <v>4410044.5674329335</v>
      </c>
      <c r="F24" s="652">
        <f t="shared" si="1"/>
        <v>4900528.8193718204</v>
      </c>
      <c r="G24" s="652">
        <f t="shared" si="1"/>
        <v>4839820.44413184</v>
      </c>
      <c r="H24" s="652">
        <f t="shared" si="1"/>
        <v>5002480.1447748346</v>
      </c>
      <c r="I24" s="652">
        <f t="shared" si="1"/>
        <v>4763694.3938309122</v>
      </c>
      <c r="J24" s="652">
        <f t="shared" si="1"/>
        <v>4972414.9696559869</v>
      </c>
      <c r="K24" s="652">
        <f t="shared" si="1"/>
        <v>4935026.4945081901</v>
      </c>
      <c r="L24" s="652">
        <f t="shared" si="1"/>
        <v>4691808.018546747</v>
      </c>
      <c r="M24" s="652">
        <f t="shared" si="1"/>
        <v>4909779.4694083882</v>
      </c>
      <c r="N24" s="652">
        <f t="shared" si="1"/>
        <v>4736520.2437234931</v>
      </c>
      <c r="O24" s="652">
        <f t="shared" si="1"/>
        <v>56918709.000000007</v>
      </c>
    </row>
    <row r="25" spans="1:17" x14ac:dyDescent="0.2">
      <c r="A25" s="654" t="s">
        <v>289</v>
      </c>
    </row>
    <row r="48" spans="3:14" x14ac:dyDescent="0.2">
      <c r="C48" s="756"/>
      <c r="D48" s="756"/>
      <c r="E48" s="756"/>
      <c r="F48" s="756"/>
      <c r="G48" s="756"/>
      <c r="H48" s="756"/>
      <c r="I48" s="756"/>
      <c r="J48" s="756"/>
      <c r="K48" s="756"/>
      <c r="L48" s="756"/>
      <c r="M48" s="756"/>
      <c r="N48" s="756"/>
    </row>
    <row r="49" spans="3:14" x14ac:dyDescent="0.2">
      <c r="C49" s="756"/>
      <c r="D49" s="756"/>
      <c r="E49" s="756"/>
      <c r="F49" s="756"/>
      <c r="G49" s="756"/>
      <c r="H49" s="756"/>
      <c r="I49" s="756"/>
      <c r="J49" s="756"/>
      <c r="K49" s="756"/>
      <c r="L49" s="756"/>
      <c r="M49" s="756"/>
      <c r="N49" s="756"/>
    </row>
    <row r="50" spans="3:14" x14ac:dyDescent="0.2">
      <c r="C50" s="756"/>
      <c r="D50" s="756"/>
      <c r="E50" s="756"/>
      <c r="F50" s="756"/>
      <c r="G50" s="756"/>
      <c r="H50" s="756"/>
      <c r="I50" s="756"/>
      <c r="J50" s="756"/>
      <c r="K50" s="756"/>
      <c r="L50" s="756"/>
      <c r="M50" s="756"/>
      <c r="N50" s="756"/>
    </row>
    <row r="51" spans="3:14" x14ac:dyDescent="0.2">
      <c r="C51" s="756"/>
      <c r="D51" s="756"/>
      <c r="E51" s="756"/>
      <c r="F51" s="756"/>
      <c r="G51" s="756"/>
      <c r="H51" s="756"/>
      <c r="I51" s="756"/>
      <c r="J51" s="756"/>
      <c r="K51" s="756"/>
      <c r="L51" s="756"/>
      <c r="M51" s="756"/>
      <c r="N51" s="756"/>
    </row>
    <row r="52" spans="3:14" x14ac:dyDescent="0.2">
      <c r="C52" s="756"/>
      <c r="D52" s="756"/>
      <c r="E52" s="756"/>
      <c r="F52" s="756"/>
      <c r="G52" s="756"/>
      <c r="H52" s="756"/>
      <c r="I52" s="756"/>
      <c r="J52" s="756"/>
      <c r="K52" s="756"/>
      <c r="L52" s="756"/>
      <c r="M52" s="756"/>
      <c r="N52" s="756"/>
    </row>
    <row r="53" spans="3:14" x14ac:dyDescent="0.2">
      <c r="C53" s="756"/>
      <c r="D53" s="756"/>
      <c r="E53" s="756"/>
      <c r="F53" s="756"/>
      <c r="G53" s="756"/>
      <c r="H53" s="756"/>
      <c r="I53" s="756"/>
      <c r="J53" s="756"/>
      <c r="K53" s="756"/>
      <c r="L53" s="756"/>
      <c r="M53" s="756"/>
      <c r="N53" s="756"/>
    </row>
    <row r="54" spans="3:14" x14ac:dyDescent="0.2">
      <c r="C54" s="756"/>
      <c r="D54" s="756"/>
      <c r="E54" s="756"/>
      <c r="F54" s="756"/>
      <c r="G54" s="756"/>
      <c r="H54" s="756"/>
      <c r="I54" s="756"/>
      <c r="J54" s="756"/>
      <c r="K54" s="756"/>
      <c r="L54" s="756"/>
      <c r="M54" s="756"/>
      <c r="N54" s="756"/>
    </row>
    <row r="55" spans="3:14" x14ac:dyDescent="0.2">
      <c r="C55" s="756"/>
      <c r="D55" s="756"/>
      <c r="E55" s="756"/>
      <c r="F55" s="756"/>
      <c r="G55" s="756"/>
      <c r="H55" s="756"/>
      <c r="I55" s="756"/>
      <c r="J55" s="756"/>
      <c r="K55" s="756"/>
      <c r="L55" s="756"/>
      <c r="M55" s="756"/>
      <c r="N55" s="756"/>
    </row>
    <row r="56" spans="3:14" x14ac:dyDescent="0.2">
      <c r="C56" s="756"/>
      <c r="D56" s="756"/>
      <c r="E56" s="756"/>
      <c r="F56" s="756"/>
      <c r="G56" s="756"/>
      <c r="H56" s="756"/>
      <c r="I56" s="756"/>
      <c r="J56" s="756"/>
      <c r="K56" s="756"/>
      <c r="L56" s="756"/>
      <c r="M56" s="756"/>
      <c r="N56" s="756"/>
    </row>
    <row r="57" spans="3:14" x14ac:dyDescent="0.2">
      <c r="C57" s="756"/>
      <c r="D57" s="756"/>
      <c r="E57" s="756"/>
      <c r="F57" s="756"/>
      <c r="G57" s="756"/>
      <c r="H57" s="756"/>
      <c r="I57" s="756"/>
      <c r="J57" s="756"/>
      <c r="K57" s="756"/>
      <c r="L57" s="756"/>
      <c r="M57" s="756"/>
      <c r="N57" s="756"/>
    </row>
    <row r="58" spans="3:14" x14ac:dyDescent="0.2">
      <c r="C58" s="756"/>
      <c r="D58" s="756"/>
      <c r="E58" s="756"/>
      <c r="F58" s="756"/>
      <c r="G58" s="756"/>
      <c r="H58" s="756"/>
      <c r="I58" s="756"/>
      <c r="J58" s="756"/>
      <c r="K58" s="756"/>
      <c r="L58" s="756"/>
      <c r="M58" s="756"/>
      <c r="N58" s="756"/>
    </row>
    <row r="59" spans="3:14" x14ac:dyDescent="0.2">
      <c r="C59" s="756"/>
      <c r="D59" s="756"/>
      <c r="E59" s="756"/>
      <c r="F59" s="756"/>
      <c r="G59" s="756"/>
      <c r="H59" s="756"/>
      <c r="I59" s="756"/>
      <c r="J59" s="756"/>
      <c r="K59" s="756"/>
      <c r="L59" s="756"/>
      <c r="M59" s="756"/>
      <c r="N59" s="756"/>
    </row>
    <row r="60" spans="3:14" x14ac:dyDescent="0.2">
      <c r="C60" s="756"/>
      <c r="D60" s="756"/>
      <c r="E60" s="756"/>
      <c r="F60" s="756"/>
      <c r="G60" s="756"/>
      <c r="H60" s="756"/>
      <c r="I60" s="756"/>
      <c r="J60" s="756"/>
      <c r="K60" s="756"/>
      <c r="L60" s="756"/>
      <c r="M60" s="756"/>
      <c r="N60" s="756"/>
    </row>
    <row r="61" spans="3:14" x14ac:dyDescent="0.2">
      <c r="C61" s="756"/>
      <c r="D61" s="756"/>
      <c r="E61" s="756"/>
      <c r="F61" s="756"/>
      <c r="G61" s="756"/>
      <c r="H61" s="756"/>
      <c r="I61" s="756"/>
      <c r="J61" s="756"/>
      <c r="K61" s="756"/>
      <c r="L61" s="756"/>
      <c r="M61" s="756"/>
      <c r="N61" s="756"/>
    </row>
    <row r="62" spans="3:14" x14ac:dyDescent="0.2">
      <c r="C62" s="756"/>
      <c r="D62" s="756"/>
      <c r="E62" s="756"/>
      <c r="F62" s="756"/>
      <c r="G62" s="756"/>
      <c r="H62" s="756"/>
      <c r="I62" s="756"/>
      <c r="J62" s="756"/>
      <c r="K62" s="756"/>
      <c r="L62" s="756"/>
      <c r="M62" s="756"/>
      <c r="N62" s="756"/>
    </row>
    <row r="63" spans="3:14" x14ac:dyDescent="0.2">
      <c r="C63" s="756"/>
      <c r="D63" s="756"/>
      <c r="E63" s="756"/>
      <c r="F63" s="756"/>
      <c r="G63" s="756"/>
      <c r="H63" s="756"/>
      <c r="I63" s="756"/>
      <c r="J63" s="756"/>
      <c r="K63" s="756"/>
      <c r="L63" s="756"/>
      <c r="M63" s="756"/>
      <c r="N63" s="756"/>
    </row>
    <row r="64" spans="3:14" x14ac:dyDescent="0.2">
      <c r="C64" s="756"/>
      <c r="D64" s="756"/>
      <c r="E64" s="756"/>
      <c r="F64" s="756"/>
      <c r="G64" s="756"/>
      <c r="H64" s="756"/>
      <c r="I64" s="756"/>
      <c r="J64" s="756"/>
      <c r="K64" s="756"/>
      <c r="L64" s="756"/>
      <c r="M64" s="756"/>
      <c r="N64" s="756"/>
    </row>
    <row r="65" spans="3:14" x14ac:dyDescent="0.2">
      <c r="C65" s="756"/>
      <c r="D65" s="756"/>
      <c r="E65" s="756"/>
      <c r="F65" s="756"/>
      <c r="G65" s="756"/>
      <c r="H65" s="756"/>
      <c r="I65" s="756"/>
      <c r="J65" s="756"/>
      <c r="K65" s="756"/>
      <c r="L65" s="756"/>
      <c r="M65" s="756"/>
      <c r="N65" s="756"/>
    </row>
    <row r="66" spans="3:14" x14ac:dyDescent="0.2">
      <c r="C66" s="756"/>
      <c r="D66" s="756"/>
      <c r="E66" s="756"/>
      <c r="F66" s="756"/>
      <c r="G66" s="756"/>
      <c r="H66" s="756"/>
      <c r="I66" s="756"/>
      <c r="J66" s="756"/>
      <c r="K66" s="756"/>
      <c r="L66" s="756"/>
      <c r="M66" s="756"/>
      <c r="N66" s="756"/>
    </row>
    <row r="67" spans="3:14" x14ac:dyDescent="0.2">
      <c r="C67" s="756"/>
      <c r="D67" s="756"/>
      <c r="E67" s="756"/>
      <c r="F67" s="756"/>
      <c r="G67" s="756"/>
      <c r="H67" s="756"/>
      <c r="I67" s="756"/>
      <c r="J67" s="756"/>
      <c r="K67" s="756"/>
      <c r="L67" s="756"/>
      <c r="M67" s="756"/>
      <c r="N67" s="756"/>
    </row>
    <row r="68" spans="3:14" x14ac:dyDescent="0.2">
      <c r="C68" s="756"/>
      <c r="D68" s="756"/>
      <c r="E68" s="756"/>
      <c r="F68" s="756"/>
      <c r="G68" s="756"/>
      <c r="H68" s="756"/>
      <c r="I68" s="756"/>
      <c r="J68" s="756"/>
      <c r="K68" s="756"/>
      <c r="L68" s="756"/>
      <c r="M68" s="756"/>
      <c r="N68" s="756"/>
    </row>
    <row r="69" spans="3:14" x14ac:dyDescent="0.2">
      <c r="C69" s="756"/>
      <c r="D69" s="756"/>
      <c r="E69" s="756"/>
      <c r="F69" s="756"/>
      <c r="G69" s="756"/>
      <c r="H69" s="756"/>
      <c r="I69" s="756"/>
      <c r="J69" s="756"/>
      <c r="K69" s="756"/>
      <c r="L69" s="756"/>
      <c r="M69" s="756"/>
      <c r="N69" s="756"/>
    </row>
    <row r="70" spans="3:14" x14ac:dyDescent="0.2">
      <c r="C70" s="756"/>
      <c r="D70" s="756"/>
      <c r="E70" s="756"/>
      <c r="F70" s="756"/>
      <c r="G70" s="756"/>
      <c r="H70" s="756"/>
      <c r="I70" s="756"/>
      <c r="J70" s="756"/>
      <c r="K70" s="756"/>
      <c r="L70" s="756"/>
      <c r="M70" s="756"/>
      <c r="N70" s="756"/>
    </row>
    <row r="71" spans="3:14" x14ac:dyDescent="0.2">
      <c r="C71" s="756"/>
      <c r="D71" s="756"/>
      <c r="E71" s="756"/>
      <c r="F71" s="756"/>
      <c r="G71" s="756"/>
      <c r="H71" s="756"/>
      <c r="I71" s="756"/>
      <c r="J71" s="756"/>
      <c r="K71" s="756"/>
      <c r="L71" s="756"/>
      <c r="M71" s="756"/>
      <c r="N71" s="756"/>
    </row>
    <row r="72" spans="3:14" x14ac:dyDescent="0.2">
      <c r="C72" s="756"/>
      <c r="D72" s="756"/>
      <c r="E72" s="756"/>
      <c r="F72" s="756"/>
      <c r="G72" s="756"/>
      <c r="H72" s="756"/>
      <c r="I72" s="756"/>
      <c r="J72" s="756"/>
      <c r="K72" s="756"/>
      <c r="L72" s="756"/>
      <c r="M72" s="756"/>
      <c r="N72" s="756"/>
    </row>
    <row r="73" spans="3:14" x14ac:dyDescent="0.2">
      <c r="C73" s="756"/>
      <c r="D73" s="756"/>
      <c r="E73" s="756"/>
      <c r="F73" s="756"/>
      <c r="G73" s="756"/>
      <c r="H73" s="756"/>
      <c r="I73" s="756"/>
      <c r="J73" s="756"/>
      <c r="K73" s="756"/>
      <c r="L73" s="756"/>
      <c r="M73" s="756"/>
      <c r="N73" s="756"/>
    </row>
    <row r="74" spans="3:14" x14ac:dyDescent="0.2">
      <c r="C74" s="756"/>
      <c r="D74" s="756"/>
      <c r="E74" s="756"/>
      <c r="F74" s="756"/>
      <c r="G74" s="756"/>
      <c r="H74" s="756"/>
      <c r="I74" s="756"/>
      <c r="J74" s="756"/>
      <c r="K74" s="756"/>
      <c r="L74" s="756"/>
      <c r="M74" s="756"/>
      <c r="N74" s="756"/>
    </row>
    <row r="75" spans="3:14" x14ac:dyDescent="0.2">
      <c r="C75" s="756"/>
      <c r="D75" s="756"/>
      <c r="E75" s="756"/>
      <c r="F75" s="756"/>
      <c r="G75" s="756"/>
      <c r="H75" s="756"/>
      <c r="I75" s="756"/>
      <c r="J75" s="756"/>
      <c r="K75" s="756"/>
      <c r="L75" s="756"/>
      <c r="M75" s="756"/>
      <c r="N75" s="756"/>
    </row>
    <row r="76" spans="3:14" x14ac:dyDescent="0.2">
      <c r="C76" s="756"/>
      <c r="D76" s="756"/>
      <c r="E76" s="756"/>
      <c r="F76" s="756"/>
      <c r="G76" s="756"/>
      <c r="H76" s="756"/>
      <c r="I76" s="756"/>
      <c r="J76" s="756"/>
      <c r="K76" s="756"/>
      <c r="L76" s="756"/>
      <c r="M76" s="756"/>
      <c r="N76" s="756"/>
    </row>
    <row r="77" spans="3:14" x14ac:dyDescent="0.2">
      <c r="C77" s="756"/>
      <c r="D77" s="756"/>
      <c r="E77" s="756"/>
      <c r="F77" s="756"/>
      <c r="G77" s="756"/>
      <c r="H77" s="756"/>
      <c r="I77" s="756"/>
      <c r="J77" s="756"/>
      <c r="K77" s="756"/>
      <c r="L77" s="756"/>
      <c r="M77" s="756"/>
      <c r="N77" s="756"/>
    </row>
    <row r="78" spans="3:14" x14ac:dyDescent="0.2">
      <c r="C78" s="756"/>
      <c r="D78" s="756"/>
      <c r="E78" s="756"/>
      <c r="F78" s="756"/>
      <c r="G78" s="756"/>
      <c r="H78" s="756"/>
      <c r="I78" s="756"/>
      <c r="J78" s="756"/>
      <c r="K78" s="756"/>
      <c r="L78" s="756"/>
      <c r="M78" s="756"/>
      <c r="N78" s="756"/>
    </row>
    <row r="79" spans="3:14" x14ac:dyDescent="0.2">
      <c r="C79" s="756"/>
      <c r="D79" s="756"/>
      <c r="E79" s="756"/>
      <c r="F79" s="756"/>
      <c r="G79" s="756"/>
      <c r="H79" s="756"/>
      <c r="I79" s="756"/>
      <c r="J79" s="756"/>
      <c r="K79" s="756"/>
      <c r="L79" s="756"/>
      <c r="M79" s="756"/>
      <c r="N79" s="756"/>
    </row>
    <row r="80" spans="3:14" x14ac:dyDescent="0.2">
      <c r="C80" s="756"/>
      <c r="D80" s="756"/>
      <c r="E80" s="756"/>
      <c r="F80" s="756"/>
      <c r="G80" s="756"/>
      <c r="H80" s="756"/>
      <c r="I80" s="756"/>
      <c r="J80" s="756"/>
      <c r="K80" s="756"/>
      <c r="L80" s="756"/>
      <c r="M80" s="756"/>
      <c r="N80" s="756"/>
    </row>
    <row r="81" spans="3:14" x14ac:dyDescent="0.2">
      <c r="C81" s="756"/>
      <c r="D81" s="756"/>
      <c r="E81" s="756"/>
      <c r="F81" s="756"/>
      <c r="G81" s="756"/>
      <c r="H81" s="756"/>
      <c r="I81" s="756"/>
      <c r="J81" s="756"/>
      <c r="K81" s="756"/>
      <c r="L81" s="756"/>
      <c r="M81" s="756"/>
      <c r="N81" s="756"/>
    </row>
    <row r="82" spans="3:14" x14ac:dyDescent="0.2">
      <c r="C82" s="756"/>
      <c r="D82" s="756"/>
      <c r="E82" s="756"/>
      <c r="F82" s="756"/>
      <c r="G82" s="756"/>
      <c r="H82" s="756"/>
      <c r="I82" s="756"/>
      <c r="J82" s="756"/>
      <c r="K82" s="756"/>
      <c r="L82" s="756"/>
      <c r="M82" s="756"/>
      <c r="N82" s="756"/>
    </row>
    <row r="83" spans="3:14" x14ac:dyDescent="0.2">
      <c r="C83" s="756"/>
      <c r="D83" s="756"/>
      <c r="E83" s="756"/>
      <c r="F83" s="756"/>
      <c r="G83" s="756"/>
      <c r="H83" s="756"/>
      <c r="I83" s="756"/>
      <c r="J83" s="756"/>
      <c r="K83" s="756"/>
      <c r="L83" s="756"/>
      <c r="M83" s="756"/>
      <c r="N83" s="756"/>
    </row>
    <row r="84" spans="3:14" x14ac:dyDescent="0.2">
      <c r="C84" s="756"/>
      <c r="D84" s="756"/>
      <c r="E84" s="756"/>
      <c r="F84" s="756"/>
      <c r="G84" s="756"/>
      <c r="H84" s="756"/>
      <c r="I84" s="756"/>
      <c r="J84" s="756"/>
      <c r="K84" s="756"/>
      <c r="L84" s="756"/>
      <c r="M84" s="756"/>
      <c r="N84" s="756"/>
    </row>
    <row r="85" spans="3:14" x14ac:dyDescent="0.2">
      <c r="C85" s="756"/>
      <c r="D85" s="756"/>
      <c r="E85" s="756"/>
      <c r="F85" s="756"/>
      <c r="G85" s="756"/>
      <c r="H85" s="756"/>
      <c r="I85" s="756"/>
      <c r="J85" s="756"/>
      <c r="K85" s="756"/>
      <c r="L85" s="756"/>
      <c r="M85" s="756"/>
      <c r="N85" s="756"/>
    </row>
    <row r="86" spans="3:14" x14ac:dyDescent="0.2">
      <c r="C86" s="756"/>
      <c r="D86" s="756"/>
      <c r="E86" s="756"/>
      <c r="F86" s="756"/>
      <c r="G86" s="756"/>
      <c r="H86" s="756"/>
      <c r="I86" s="756"/>
      <c r="J86" s="756"/>
      <c r="K86" s="756"/>
      <c r="L86" s="756"/>
      <c r="M86" s="756"/>
      <c r="N86" s="756"/>
    </row>
    <row r="87" spans="3:14" x14ac:dyDescent="0.2">
      <c r="C87" s="756"/>
      <c r="D87" s="756"/>
      <c r="E87" s="756"/>
      <c r="F87" s="756"/>
      <c r="G87" s="756"/>
      <c r="H87" s="756"/>
      <c r="I87" s="756"/>
      <c r="J87" s="756"/>
      <c r="K87" s="756"/>
      <c r="L87" s="756"/>
      <c r="M87" s="756"/>
      <c r="N87" s="756"/>
    </row>
    <row r="88" spans="3:14" x14ac:dyDescent="0.2">
      <c r="C88" s="756"/>
      <c r="D88" s="756"/>
      <c r="E88" s="756"/>
      <c r="F88" s="756"/>
      <c r="G88" s="756"/>
      <c r="H88" s="756"/>
      <c r="I88" s="756"/>
      <c r="J88" s="756"/>
      <c r="K88" s="756"/>
      <c r="L88" s="756"/>
      <c r="M88" s="756"/>
      <c r="N88" s="756"/>
    </row>
    <row r="89" spans="3:14" x14ac:dyDescent="0.2">
      <c r="C89" s="756"/>
      <c r="D89" s="756"/>
      <c r="E89" s="756"/>
      <c r="F89" s="756"/>
      <c r="G89" s="756"/>
      <c r="H89" s="756"/>
      <c r="I89" s="756"/>
      <c r="J89" s="756"/>
      <c r="K89" s="756"/>
      <c r="L89" s="756"/>
      <c r="M89" s="756"/>
      <c r="N89" s="756"/>
    </row>
    <row r="90" spans="3:14" x14ac:dyDescent="0.2">
      <c r="C90" s="756"/>
      <c r="D90" s="756"/>
      <c r="E90" s="756"/>
      <c r="F90" s="756"/>
      <c r="G90" s="756"/>
      <c r="H90" s="756"/>
      <c r="I90" s="756"/>
      <c r="J90" s="756"/>
      <c r="K90" s="756"/>
      <c r="L90" s="756"/>
      <c r="M90" s="756"/>
      <c r="N90" s="756"/>
    </row>
    <row r="91" spans="3:14" x14ac:dyDescent="0.2">
      <c r="C91" s="756"/>
      <c r="D91" s="756"/>
      <c r="E91" s="756"/>
      <c r="F91" s="756"/>
      <c r="G91" s="756"/>
      <c r="H91" s="756"/>
      <c r="I91" s="756"/>
      <c r="J91" s="756"/>
      <c r="K91" s="756"/>
      <c r="L91" s="756"/>
      <c r="M91" s="756"/>
      <c r="N91" s="756"/>
    </row>
    <row r="92" spans="3:14" x14ac:dyDescent="0.2">
      <c r="C92" s="756"/>
      <c r="D92" s="756"/>
      <c r="E92" s="756"/>
      <c r="F92" s="756"/>
      <c r="G92" s="756"/>
      <c r="H92" s="756"/>
      <c r="I92" s="756"/>
      <c r="J92" s="756"/>
      <c r="K92" s="756"/>
      <c r="L92" s="756"/>
      <c r="M92" s="756"/>
      <c r="N92" s="756"/>
    </row>
    <row r="93" spans="3:14" x14ac:dyDescent="0.2">
      <c r="C93" s="756"/>
      <c r="D93" s="756"/>
      <c r="E93" s="756"/>
      <c r="F93" s="756"/>
      <c r="G93" s="756"/>
      <c r="H93" s="756"/>
      <c r="I93" s="756"/>
      <c r="J93" s="756"/>
      <c r="K93" s="756"/>
      <c r="L93" s="756"/>
      <c r="M93" s="756"/>
      <c r="N93" s="756"/>
    </row>
    <row r="94" spans="3:14" x14ac:dyDescent="0.2">
      <c r="C94" s="756"/>
      <c r="D94" s="756"/>
      <c r="E94" s="756"/>
      <c r="F94" s="756"/>
      <c r="G94" s="756"/>
      <c r="H94" s="756"/>
      <c r="I94" s="756"/>
      <c r="J94" s="756"/>
      <c r="K94" s="756"/>
      <c r="L94" s="756"/>
      <c r="M94" s="756"/>
      <c r="N94" s="756"/>
    </row>
    <row r="95" spans="3:14" x14ac:dyDescent="0.2">
      <c r="C95" s="756"/>
      <c r="D95" s="756"/>
      <c r="E95" s="756"/>
      <c r="F95" s="756"/>
      <c r="G95" s="756"/>
      <c r="H95" s="756"/>
      <c r="I95" s="756"/>
      <c r="J95" s="756"/>
      <c r="K95" s="756"/>
      <c r="L95" s="756"/>
      <c r="M95" s="756"/>
      <c r="N95" s="756"/>
    </row>
    <row r="96" spans="3:14" x14ac:dyDescent="0.2">
      <c r="C96" s="756"/>
      <c r="D96" s="756"/>
      <c r="E96" s="756"/>
      <c r="F96" s="756"/>
      <c r="G96" s="756"/>
      <c r="H96" s="756"/>
      <c r="I96" s="756"/>
      <c r="J96" s="756"/>
      <c r="K96" s="756"/>
      <c r="L96" s="756"/>
      <c r="M96" s="756"/>
      <c r="N96" s="756"/>
    </row>
    <row r="97" spans="3:14" x14ac:dyDescent="0.2">
      <c r="C97" s="756"/>
      <c r="D97" s="756"/>
      <c r="E97" s="756"/>
      <c r="F97" s="756"/>
      <c r="G97" s="756"/>
      <c r="H97" s="756"/>
      <c r="I97" s="756"/>
      <c r="J97" s="756"/>
      <c r="K97" s="756"/>
      <c r="L97" s="756"/>
      <c r="M97" s="756"/>
      <c r="N97" s="756"/>
    </row>
    <row r="98" spans="3:14" x14ac:dyDescent="0.2">
      <c r="C98" s="756"/>
      <c r="D98" s="756"/>
      <c r="E98" s="756"/>
      <c r="F98" s="756"/>
      <c r="G98" s="756"/>
      <c r="H98" s="756"/>
      <c r="I98" s="756"/>
      <c r="J98" s="756"/>
      <c r="K98" s="756"/>
      <c r="L98" s="756"/>
      <c r="M98" s="756"/>
      <c r="N98" s="756"/>
    </row>
    <row r="99" spans="3:14" x14ac:dyDescent="0.2">
      <c r="C99" s="756"/>
      <c r="D99" s="756"/>
      <c r="E99" s="756"/>
      <c r="F99" s="756"/>
      <c r="G99" s="756"/>
      <c r="H99" s="756"/>
      <c r="I99" s="756"/>
      <c r="J99" s="756"/>
      <c r="K99" s="756"/>
      <c r="L99" s="756"/>
      <c r="M99" s="756"/>
      <c r="N99" s="756"/>
    </row>
    <row r="100" spans="3:14" x14ac:dyDescent="0.2">
      <c r="C100" s="756"/>
      <c r="D100" s="756"/>
      <c r="E100" s="756"/>
      <c r="F100" s="756"/>
      <c r="G100" s="756"/>
      <c r="H100" s="756"/>
      <c r="I100" s="756"/>
      <c r="J100" s="756"/>
      <c r="K100" s="756"/>
      <c r="L100" s="756"/>
      <c r="M100" s="756"/>
      <c r="N100" s="756"/>
    </row>
    <row r="101" spans="3:14" x14ac:dyDescent="0.2">
      <c r="C101" s="756"/>
      <c r="D101" s="756"/>
      <c r="E101" s="756"/>
      <c r="F101" s="756"/>
      <c r="G101" s="756"/>
      <c r="H101" s="756"/>
      <c r="I101" s="756"/>
      <c r="J101" s="756"/>
      <c r="K101" s="756"/>
      <c r="L101" s="756"/>
      <c r="M101" s="756"/>
      <c r="N101" s="756"/>
    </row>
  </sheetData>
  <mergeCells count="1">
    <mergeCell ref="A1:O1"/>
  </mergeCells>
  <printOptions horizontalCentered="1"/>
  <pageMargins left="0.78740157480314965" right="0.78740157480314965" top="0.98425196850393704" bottom="0.98425196850393704" header="0" footer="0"/>
  <pageSetup paperSize="5" scale="9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1:Q69"/>
  <sheetViews>
    <sheetView workbookViewId="0">
      <selection sqref="A1:O1"/>
    </sheetView>
  </sheetViews>
  <sheetFormatPr baseColWidth="10" defaultRowHeight="12.75" x14ac:dyDescent="0.2"/>
  <cols>
    <col min="1" max="1" width="16.5703125" style="640" customWidth="1"/>
    <col min="2" max="2" width="9.7109375" style="640" hidden="1" customWidth="1"/>
    <col min="3" max="15" width="9.7109375" style="640" customWidth="1"/>
    <col min="16" max="16" width="12.7109375" style="640" bestFit="1" customWidth="1"/>
    <col min="17" max="16384" width="11.42578125" style="640"/>
  </cols>
  <sheetData>
    <row r="1" spans="1:17" x14ac:dyDescent="0.2">
      <c r="A1" s="1237" t="s">
        <v>429</v>
      </c>
      <c r="B1" s="1237"/>
      <c r="C1" s="1237"/>
      <c r="D1" s="1237"/>
      <c r="E1" s="1237"/>
      <c r="F1" s="1237"/>
      <c r="G1" s="1237"/>
      <c r="H1" s="1237"/>
      <c r="I1" s="1237"/>
      <c r="J1" s="1237"/>
      <c r="K1" s="1237"/>
      <c r="L1" s="1237"/>
      <c r="M1" s="1237"/>
      <c r="N1" s="1237"/>
      <c r="O1" s="1237"/>
    </row>
    <row r="2" spans="1:17" ht="13.5" thickBot="1" x14ac:dyDescent="0.25"/>
    <row r="3" spans="1:17" ht="23.25" thickBot="1" x14ac:dyDescent="0.25">
      <c r="A3" s="641" t="s">
        <v>346</v>
      </c>
      <c r="B3" s="643" t="s">
        <v>281</v>
      </c>
      <c r="C3" s="641" t="s">
        <v>1</v>
      </c>
      <c r="D3" s="643" t="s">
        <v>2</v>
      </c>
      <c r="E3" s="641" t="s">
        <v>3</v>
      </c>
      <c r="F3" s="643" t="s">
        <v>4</v>
      </c>
      <c r="G3" s="641" t="s">
        <v>5</v>
      </c>
      <c r="H3" s="641" t="s">
        <v>6</v>
      </c>
      <c r="I3" s="641" t="s">
        <v>7</v>
      </c>
      <c r="J3" s="643" t="s">
        <v>8</v>
      </c>
      <c r="K3" s="641" t="s">
        <v>9</v>
      </c>
      <c r="L3" s="643" t="s">
        <v>10</v>
      </c>
      <c r="M3" s="641" t="s">
        <v>11</v>
      </c>
      <c r="N3" s="641" t="s">
        <v>12</v>
      </c>
      <c r="O3" s="644" t="s">
        <v>168</v>
      </c>
    </row>
    <row r="4" spans="1:17" x14ac:dyDescent="0.2">
      <c r="A4" s="645" t="s">
        <v>282</v>
      </c>
      <c r="B4" s="646">
        <f>FGP!U8</f>
        <v>3.6689125344346443</v>
      </c>
      <c r="C4" s="647">
        <f>$C$24*B4/100</f>
        <v>31846.294714200223</v>
      </c>
      <c r="D4" s="647">
        <f>$D$24*B4/100</f>
        <v>35014.19614581074</v>
      </c>
      <c r="E4" s="647">
        <f>$E$24*B4/100</f>
        <v>30187.194121566201</v>
      </c>
      <c r="F4" s="647">
        <f>$F$24*B4/100</f>
        <v>27458.890783094037</v>
      </c>
      <c r="G4" s="647">
        <f>$G$24*B4/100</f>
        <v>28621.681067088673</v>
      </c>
      <c r="H4" s="647">
        <f>$H$24*B4/100</f>
        <v>23352.249466457335</v>
      </c>
      <c r="I4" s="647">
        <f>$I$24*B4/100</f>
        <v>25048.225381746819</v>
      </c>
      <c r="J4" s="647">
        <f>$J$24*B4/100</f>
        <v>27830.417707524761</v>
      </c>
      <c r="K4" s="647">
        <f>$K$24*B4/100</f>
        <v>27129.902147815683</v>
      </c>
      <c r="L4" s="647">
        <f>$L$24*B4/100</f>
        <v>27773.697236970533</v>
      </c>
      <c r="M4" s="647">
        <f>$M$24*B4/100</f>
        <v>28630.192026940429</v>
      </c>
      <c r="N4" s="647">
        <f>$N$24*B4/100</f>
        <v>30646.637362603313</v>
      </c>
      <c r="O4" s="648">
        <f>SUM(C4:N4)</f>
        <v>343539.57816181879</v>
      </c>
      <c r="P4" s="649"/>
      <c r="Q4" s="649"/>
    </row>
    <row r="5" spans="1:17" x14ac:dyDescent="0.2">
      <c r="A5" s="645" t="s">
        <v>147</v>
      </c>
      <c r="B5" s="646">
        <f>FGP!U9</f>
        <v>3.0189415127607973</v>
      </c>
      <c r="C5" s="647">
        <f t="shared" ref="C5:C23" si="0">$C$24*B5/100</f>
        <v>26204.522522128937</v>
      </c>
      <c r="D5" s="647">
        <f t="shared" ref="D5:D23" si="1">$D$24*B5/100</f>
        <v>28811.21021240855</v>
      </c>
      <c r="E5" s="647">
        <f t="shared" ref="E5:E23" si="2">$E$24*B5/100</f>
        <v>24839.342075350942</v>
      </c>
      <c r="F5" s="647">
        <f t="shared" ref="F5:F23" si="3">$F$24*B5/100</f>
        <v>22594.374900305789</v>
      </c>
      <c r="G5" s="647">
        <f t="shared" ref="G5:G23" si="4">$G$24*B5/100</f>
        <v>23551.169543415825</v>
      </c>
      <c r="H5" s="647">
        <f t="shared" ref="H5:H23" si="5">$H$24*B5/100</f>
        <v>19215.251023011286</v>
      </c>
      <c r="I5" s="647">
        <f t="shared" ref="I5:I23" si="6">$I$24*B5/100</f>
        <v>20610.77409619866</v>
      </c>
      <c r="J5" s="647">
        <f t="shared" ref="J5:J23" si="7">$J$24*B5/100</f>
        <v>22900.083484183244</v>
      </c>
      <c r="K5" s="647">
        <f t="shared" ref="K5:K23" si="8">$K$24*B5/100</f>
        <v>22323.668679062663</v>
      </c>
      <c r="L5" s="647">
        <f t="shared" ref="L5:L23" si="9">$L$24*B5/100</f>
        <v>22853.41140313134</v>
      </c>
      <c r="M5" s="647">
        <f t="shared" ref="M5:M23" si="10">$M$24*B5/100</f>
        <v>23558.172732990053</v>
      </c>
      <c r="N5" s="647">
        <f t="shared" ref="N5:N23" si="11">$N$24*B5/100</f>
        <v>25217.392045227924</v>
      </c>
      <c r="O5" s="648">
        <f t="shared" ref="O5:O23" si="12">SUM(C5:N5)</f>
        <v>282679.37271741522</v>
      </c>
      <c r="P5" s="649"/>
    </row>
    <row r="6" spans="1:17" x14ac:dyDescent="0.2">
      <c r="A6" s="645" t="s">
        <v>148</v>
      </c>
      <c r="B6" s="646">
        <f>FGP!U10</f>
        <v>2.9158506739591776</v>
      </c>
      <c r="C6" s="647">
        <f t="shared" si="0"/>
        <v>25309.690278515263</v>
      </c>
      <c r="D6" s="647">
        <f t="shared" si="1"/>
        <v>27827.364776803941</v>
      </c>
      <c r="E6" s="647">
        <f t="shared" si="2"/>
        <v>23991.128024497553</v>
      </c>
      <c r="F6" s="647">
        <f t="shared" si="3"/>
        <v>21822.822006410643</v>
      </c>
      <c r="G6" s="647">
        <f t="shared" si="4"/>
        <v>22746.944018433856</v>
      </c>
      <c r="H6" s="647">
        <f t="shared" si="5"/>
        <v>18559.08847816808</v>
      </c>
      <c r="I6" s="647">
        <f t="shared" si="6"/>
        <v>19906.957218347085</v>
      </c>
      <c r="J6" s="647">
        <f t="shared" si="7"/>
        <v>22118.091251133108</v>
      </c>
      <c r="K6" s="647">
        <f t="shared" si="8"/>
        <v>21561.359863364731</v>
      </c>
      <c r="L6" s="647">
        <f t="shared" si="9"/>
        <v>22073.012928676369</v>
      </c>
      <c r="M6" s="647">
        <f t="shared" si="10"/>
        <v>22753.708063034777</v>
      </c>
      <c r="N6" s="647">
        <f t="shared" si="11"/>
        <v>24356.268340994764</v>
      </c>
      <c r="O6" s="648">
        <f t="shared" si="12"/>
        <v>273026.43524838012</v>
      </c>
      <c r="P6" s="649"/>
    </row>
    <row r="7" spans="1:17" x14ac:dyDescent="0.2">
      <c r="A7" s="645" t="s">
        <v>283</v>
      </c>
      <c r="B7" s="646">
        <f>FGP!U11</f>
        <v>10.636056638976944</v>
      </c>
      <c r="C7" s="647">
        <f t="shared" si="0"/>
        <v>92321.359842387203</v>
      </c>
      <c r="D7" s="647">
        <f t="shared" si="1"/>
        <v>101505.00178998617</v>
      </c>
      <c r="E7" s="647">
        <f t="shared" si="2"/>
        <v>87511.681849958637</v>
      </c>
      <c r="F7" s="647">
        <f t="shared" si="3"/>
        <v>79602.420300671976</v>
      </c>
      <c r="G7" s="647">
        <f t="shared" si="4"/>
        <v>82973.311049291238</v>
      </c>
      <c r="H7" s="647">
        <f t="shared" si="5"/>
        <v>67697.40233424028</v>
      </c>
      <c r="I7" s="647">
        <f t="shared" si="6"/>
        <v>72613.980672933045</v>
      </c>
      <c r="J7" s="647">
        <f t="shared" si="7"/>
        <v>80679.464622133004</v>
      </c>
      <c r="K7" s="647">
        <f t="shared" si="8"/>
        <v>78648.693078897384</v>
      </c>
      <c r="L7" s="647">
        <f t="shared" si="9"/>
        <v>80515.033845508588</v>
      </c>
      <c r="M7" s="647">
        <f t="shared" si="10"/>
        <v>82997.98404167952</v>
      </c>
      <c r="N7" s="647">
        <f t="shared" si="11"/>
        <v>88843.592678631147</v>
      </c>
      <c r="O7" s="648">
        <f t="shared" si="12"/>
        <v>995909.92610631813</v>
      </c>
      <c r="P7" s="649"/>
    </row>
    <row r="8" spans="1:17" x14ac:dyDescent="0.2">
      <c r="A8" s="645" t="s">
        <v>150</v>
      </c>
      <c r="B8" s="646">
        <f>FGP!U12</f>
        <v>4.9259786013988212</v>
      </c>
      <c r="C8" s="647">
        <f t="shared" si="0"/>
        <v>42757.674058360717</v>
      </c>
      <c r="D8" s="647">
        <f t="shared" si="1"/>
        <v>47010.981957361575</v>
      </c>
      <c r="E8" s="647">
        <f t="shared" si="2"/>
        <v>40530.12190491517</v>
      </c>
      <c r="F8" s="647">
        <f t="shared" si="3"/>
        <v>36867.029983998116</v>
      </c>
      <c r="G8" s="647">
        <f t="shared" si="4"/>
        <v>38428.222845128745</v>
      </c>
      <c r="H8" s="647">
        <f t="shared" si="5"/>
        <v>31353.345190612905</v>
      </c>
      <c r="I8" s="647">
        <f t="shared" si="6"/>
        <v>33630.407123486468</v>
      </c>
      <c r="J8" s="647">
        <f t="shared" si="7"/>
        <v>37365.851818100869</v>
      </c>
      <c r="K8" s="647">
        <f t="shared" si="8"/>
        <v>36425.321177294631</v>
      </c>
      <c r="L8" s="647">
        <f t="shared" si="9"/>
        <v>37289.697420417891</v>
      </c>
      <c r="M8" s="647">
        <f t="shared" si="10"/>
        <v>38439.649883989339</v>
      </c>
      <c r="N8" s="647">
        <f t="shared" si="11"/>
        <v>41146.98250125393</v>
      </c>
      <c r="O8" s="648">
        <f t="shared" si="12"/>
        <v>461245.28586492041</v>
      </c>
      <c r="P8" s="649"/>
    </row>
    <row r="9" spans="1:17" x14ac:dyDescent="0.2">
      <c r="A9" s="645" t="s">
        <v>284</v>
      </c>
      <c r="B9" s="646">
        <f>FGP!U13</f>
        <v>4.5669690465560464</v>
      </c>
      <c r="C9" s="647">
        <f t="shared" si="0"/>
        <v>39641.458018476682</v>
      </c>
      <c r="D9" s="647">
        <f t="shared" si="1"/>
        <v>43584.781181653489</v>
      </c>
      <c r="E9" s="647">
        <f t="shared" si="2"/>
        <v>37576.25178077881</v>
      </c>
      <c r="F9" s="647">
        <f t="shared" si="3"/>
        <v>34180.129147853215</v>
      </c>
      <c r="G9" s="647">
        <f t="shared" si="4"/>
        <v>35627.540931262745</v>
      </c>
      <c r="H9" s="647">
        <f t="shared" si="5"/>
        <v>29068.286441775177</v>
      </c>
      <c r="I9" s="647">
        <f t="shared" si="6"/>
        <v>31179.39414361773</v>
      </c>
      <c r="J9" s="647">
        <f t="shared" si="7"/>
        <v>34642.596417899142</v>
      </c>
      <c r="K9" s="647">
        <f t="shared" si="8"/>
        <v>33770.612458675314</v>
      </c>
      <c r="L9" s="647">
        <f t="shared" si="9"/>
        <v>34571.992218181644</v>
      </c>
      <c r="M9" s="647">
        <f t="shared" si="10"/>
        <v>35638.135157708493</v>
      </c>
      <c r="N9" s="647">
        <f t="shared" si="11"/>
        <v>38148.155046602835</v>
      </c>
      <c r="O9" s="648">
        <f t="shared" si="12"/>
        <v>427629.33294448524</v>
      </c>
      <c r="P9" s="649"/>
    </row>
    <row r="10" spans="1:17" x14ac:dyDescent="0.2">
      <c r="A10" s="645" t="s">
        <v>152</v>
      </c>
      <c r="B10" s="646">
        <f>FGP!U14</f>
        <v>3.0924320014220541</v>
      </c>
      <c r="C10" s="647">
        <f t="shared" si="0"/>
        <v>26842.422646111481</v>
      </c>
      <c r="D10" s="647">
        <f t="shared" si="1"/>
        <v>29512.565276255347</v>
      </c>
      <c r="E10" s="647">
        <f t="shared" si="2"/>
        <v>25444.009432908424</v>
      </c>
      <c r="F10" s="647">
        <f t="shared" si="3"/>
        <v>23144.392727878945</v>
      </c>
      <c r="G10" s="647">
        <f t="shared" si="4"/>
        <v>24124.478748305635</v>
      </c>
      <c r="H10" s="647">
        <f t="shared" si="5"/>
        <v>19683.010395447229</v>
      </c>
      <c r="I10" s="647">
        <f t="shared" si="6"/>
        <v>21112.504869588582</v>
      </c>
      <c r="J10" s="647">
        <f t="shared" si="7"/>
        <v>23457.543215854945</v>
      </c>
      <c r="K10" s="647">
        <f t="shared" si="8"/>
        <v>22867.09666963543</v>
      </c>
      <c r="L10" s="647">
        <f t="shared" si="9"/>
        <v>23409.734990220964</v>
      </c>
      <c r="M10" s="647">
        <f t="shared" si="10"/>
        <v>24131.652417440935</v>
      </c>
      <c r="N10" s="647">
        <f t="shared" si="11"/>
        <v>25831.262322718499</v>
      </c>
      <c r="O10" s="648">
        <f t="shared" si="12"/>
        <v>289560.67371236644</v>
      </c>
      <c r="P10" s="649"/>
    </row>
    <row r="11" spans="1:17" x14ac:dyDescent="0.2">
      <c r="A11" s="645" t="s">
        <v>153</v>
      </c>
      <c r="B11" s="646">
        <f>FGP!U15</f>
        <v>3.5445769153881468</v>
      </c>
      <c r="C11" s="647">
        <f t="shared" si="0"/>
        <v>30767.057002626527</v>
      </c>
      <c r="D11" s="647">
        <f t="shared" si="1"/>
        <v>33827.601558901159</v>
      </c>
      <c r="E11" s="647">
        <f t="shared" si="2"/>
        <v>29164.181598603427</v>
      </c>
      <c r="F11" s="647">
        <f t="shared" si="3"/>
        <v>26528.337614599863</v>
      </c>
      <c r="G11" s="647">
        <f t="shared" si="4"/>
        <v>27651.722148682278</v>
      </c>
      <c r="H11" s="647">
        <f t="shared" si="5"/>
        <v>22560.866088879044</v>
      </c>
      <c r="I11" s="647">
        <f t="shared" si="6"/>
        <v>24199.367149334474</v>
      </c>
      <c r="J11" s="647">
        <f t="shared" si="7"/>
        <v>26887.273879071268</v>
      </c>
      <c r="K11" s="647">
        <f t="shared" si="8"/>
        <v>26210.498061029692</v>
      </c>
      <c r="L11" s="647">
        <f t="shared" si="9"/>
        <v>26832.475606103595</v>
      </c>
      <c r="M11" s="647">
        <f t="shared" si="10"/>
        <v>27659.944680981756</v>
      </c>
      <c r="N11" s="647">
        <f t="shared" si="11"/>
        <v>29608.054787409827</v>
      </c>
      <c r="O11" s="648">
        <f t="shared" si="12"/>
        <v>331897.38017622288</v>
      </c>
      <c r="P11" s="649"/>
    </row>
    <row r="12" spans="1:17" x14ac:dyDescent="0.2">
      <c r="A12" s="645" t="s">
        <v>154</v>
      </c>
      <c r="B12" s="646">
        <f>FGP!U16</f>
        <v>2.9474150327827102</v>
      </c>
      <c r="C12" s="647">
        <f t="shared" si="0"/>
        <v>25583.670065202619</v>
      </c>
      <c r="D12" s="647">
        <f t="shared" si="1"/>
        <v>28128.598627622418</v>
      </c>
      <c r="E12" s="647">
        <f t="shared" si="2"/>
        <v>24250.834250303116</v>
      </c>
      <c r="F12" s="647">
        <f t="shared" si="3"/>
        <v>22059.056114866249</v>
      </c>
      <c r="G12" s="647">
        <f t="shared" si="4"/>
        <v>22993.18183491359</v>
      </c>
      <c r="H12" s="647">
        <f t="shared" si="5"/>
        <v>18759.992363059817</v>
      </c>
      <c r="I12" s="647">
        <f t="shared" si="6"/>
        <v>20122.451909600062</v>
      </c>
      <c r="J12" s="647">
        <f t="shared" si="7"/>
        <v>22357.521677038443</v>
      </c>
      <c r="K12" s="647">
        <f t="shared" si="8"/>
        <v>21794.763619437897</v>
      </c>
      <c r="L12" s="647">
        <f t="shared" si="9"/>
        <v>22311.955377485381</v>
      </c>
      <c r="M12" s="647">
        <f t="shared" si="10"/>
        <v>23000.019100935886</v>
      </c>
      <c r="N12" s="647">
        <f t="shared" si="11"/>
        <v>24619.927245198363</v>
      </c>
      <c r="O12" s="648">
        <f t="shared" si="12"/>
        <v>275981.97218566382</v>
      </c>
      <c r="P12" s="649"/>
    </row>
    <row r="13" spans="1:17" x14ac:dyDescent="0.2">
      <c r="A13" s="645" t="s">
        <v>155</v>
      </c>
      <c r="B13" s="646">
        <f>FGP!U17</f>
        <v>3.1262542546374323</v>
      </c>
      <c r="C13" s="647">
        <f t="shared" si="0"/>
        <v>27136.001038533206</v>
      </c>
      <c r="D13" s="647">
        <f t="shared" si="1"/>
        <v>29835.347298737935</v>
      </c>
      <c r="E13" s="647">
        <f t="shared" si="2"/>
        <v>25722.293233314889</v>
      </c>
      <c r="F13" s="647">
        <f t="shared" si="3"/>
        <v>23397.525379138053</v>
      </c>
      <c r="G13" s="647">
        <f t="shared" si="4"/>
        <v>24388.330703187421</v>
      </c>
      <c r="H13" s="647">
        <f t="shared" si="5"/>
        <v>19898.285545015468</v>
      </c>
      <c r="I13" s="647">
        <f t="shared" si="6"/>
        <v>21343.414550183585</v>
      </c>
      <c r="J13" s="647">
        <f t="shared" si="7"/>
        <v>23714.100826852533</v>
      </c>
      <c r="K13" s="647">
        <f t="shared" si="8"/>
        <v>23117.196504815409</v>
      </c>
      <c r="L13" s="647">
        <f t="shared" si="9"/>
        <v>23665.769717639399</v>
      </c>
      <c r="M13" s="647">
        <f t="shared" si="10"/>
        <v>24395.582831494616</v>
      </c>
      <c r="N13" s="647">
        <f t="shared" si="11"/>
        <v>26113.781548606115</v>
      </c>
      <c r="O13" s="648">
        <f t="shared" si="12"/>
        <v>292727.6291775186</v>
      </c>
      <c r="P13" s="649"/>
    </row>
    <row r="14" spans="1:17" x14ac:dyDescent="0.2">
      <c r="A14" s="645" t="s">
        <v>156</v>
      </c>
      <c r="B14" s="646">
        <f>FGP!U18</f>
        <v>3.5571999751633676</v>
      </c>
      <c r="C14" s="647">
        <f t="shared" si="0"/>
        <v>30876.625622217125</v>
      </c>
      <c r="D14" s="647">
        <f t="shared" si="1"/>
        <v>33948.069486872082</v>
      </c>
      <c r="E14" s="647">
        <f t="shared" si="2"/>
        <v>29268.042007448374</v>
      </c>
      <c r="F14" s="647">
        <f t="shared" si="3"/>
        <v>26622.811172217574</v>
      </c>
      <c r="G14" s="647">
        <f t="shared" si="4"/>
        <v>27750.196338946083</v>
      </c>
      <c r="H14" s="647">
        <f t="shared" si="5"/>
        <v>22641.2105610174</v>
      </c>
      <c r="I14" s="647">
        <f t="shared" si="6"/>
        <v>24285.546703436525</v>
      </c>
      <c r="J14" s="647">
        <f t="shared" si="7"/>
        <v>26983.025691902527</v>
      </c>
      <c r="K14" s="647">
        <f t="shared" si="8"/>
        <v>26303.839718344654</v>
      </c>
      <c r="L14" s="647">
        <f t="shared" si="9"/>
        <v>26928.032269586496</v>
      </c>
      <c r="M14" s="647">
        <f t="shared" si="10"/>
        <v>27758.448153588473</v>
      </c>
      <c r="N14" s="647">
        <f t="shared" si="11"/>
        <v>29713.495931538182</v>
      </c>
      <c r="O14" s="648">
        <f t="shared" si="12"/>
        <v>333079.34365711547</v>
      </c>
      <c r="P14" s="649"/>
    </row>
    <row r="15" spans="1:17" x14ac:dyDescent="0.2">
      <c r="A15" s="645" t="s">
        <v>157</v>
      </c>
      <c r="B15" s="646">
        <f>FGP!U19</f>
        <v>3.2256653277433607</v>
      </c>
      <c r="C15" s="647">
        <f t="shared" si="0"/>
        <v>27998.892781596835</v>
      </c>
      <c r="D15" s="647">
        <f t="shared" si="1"/>
        <v>30784.074961261205</v>
      </c>
      <c r="E15" s="647">
        <f t="shared" si="2"/>
        <v>26540.230792064649</v>
      </c>
      <c r="F15" s="647">
        <f t="shared" si="3"/>
        <v>24141.538154974507</v>
      </c>
      <c r="G15" s="647">
        <f t="shared" si="4"/>
        <v>25163.84988012887</v>
      </c>
      <c r="H15" s="647">
        <f t="shared" si="5"/>
        <v>20531.026761141402</v>
      </c>
      <c r="I15" s="647">
        <f t="shared" si="6"/>
        <v>22022.109106466403</v>
      </c>
      <c r="J15" s="647">
        <f t="shared" si="7"/>
        <v>24468.180315890444</v>
      </c>
      <c r="K15" s="647">
        <f t="shared" si="8"/>
        <v>23852.295164284751</v>
      </c>
      <c r="L15" s="647">
        <f t="shared" si="9"/>
        <v>24418.312336339863</v>
      </c>
      <c r="M15" s="647">
        <f t="shared" si="10"/>
        <v>25171.332617272907</v>
      </c>
      <c r="N15" s="647">
        <f t="shared" si="11"/>
        <v>26944.167958396636</v>
      </c>
      <c r="O15" s="648">
        <f t="shared" si="12"/>
        <v>302036.01082981849</v>
      </c>
      <c r="P15" s="649"/>
    </row>
    <row r="16" spans="1:17" x14ac:dyDescent="0.2">
      <c r="A16" s="645" t="s">
        <v>158</v>
      </c>
      <c r="B16" s="646">
        <f>FGP!U20</f>
        <v>3.9058227423840197</v>
      </c>
      <c r="C16" s="647">
        <f t="shared" si="0"/>
        <v>33902.683966423392</v>
      </c>
      <c r="D16" s="647">
        <f t="shared" si="1"/>
        <v>37275.144154854104</v>
      </c>
      <c r="E16" s="647">
        <f t="shared" si="2"/>
        <v>32136.451393203624</v>
      </c>
      <c r="F16" s="647">
        <f t="shared" si="3"/>
        <v>29231.975168297136</v>
      </c>
      <c r="G16" s="647">
        <f t="shared" si="4"/>
        <v>30469.849522952274</v>
      </c>
      <c r="H16" s="647">
        <f t="shared" si="5"/>
        <v>24860.158479076134</v>
      </c>
      <c r="I16" s="647">
        <f t="shared" si="6"/>
        <v>26665.647500223917</v>
      </c>
      <c r="J16" s="647">
        <f t="shared" si="7"/>
        <v>29627.492449570542</v>
      </c>
      <c r="K16" s="647">
        <f t="shared" si="8"/>
        <v>28881.742972354619</v>
      </c>
      <c r="L16" s="647">
        <f t="shared" si="9"/>
        <v>29567.109406428972</v>
      </c>
      <c r="M16" s="647">
        <f t="shared" si="10"/>
        <v>30478.910055258923</v>
      </c>
      <c r="N16" s="647">
        <f t="shared" si="11"/>
        <v>32625.561951941407</v>
      </c>
      <c r="O16" s="648">
        <f t="shared" si="12"/>
        <v>365722.72702058504</v>
      </c>
      <c r="P16" s="649"/>
    </row>
    <row r="17" spans="1:16" x14ac:dyDescent="0.2">
      <c r="A17" s="645" t="s">
        <v>285</v>
      </c>
      <c r="B17" s="646">
        <f>FGP!U21</f>
        <v>2.6233120281771627</v>
      </c>
      <c r="C17" s="647">
        <f t="shared" si="0"/>
        <v>22770.444155466805</v>
      </c>
      <c r="D17" s="647">
        <f t="shared" si="1"/>
        <v>25035.527842152213</v>
      </c>
      <c r="E17" s="647">
        <f t="shared" si="2"/>
        <v>21584.169339764947</v>
      </c>
      <c r="F17" s="647">
        <f t="shared" si="3"/>
        <v>19633.403030359641</v>
      </c>
      <c r="G17" s="647">
        <f t="shared" si="4"/>
        <v>20464.810623105845</v>
      </c>
      <c r="H17" s="647">
        <f t="shared" si="5"/>
        <v>16697.110202380733</v>
      </c>
      <c r="I17" s="647">
        <f t="shared" si="6"/>
        <v>17909.751271449786</v>
      </c>
      <c r="J17" s="647">
        <f t="shared" si="7"/>
        <v>19899.048787924959</v>
      </c>
      <c r="K17" s="647">
        <f t="shared" si="8"/>
        <v>19398.172608277015</v>
      </c>
      <c r="L17" s="647">
        <f t="shared" si="9"/>
        <v>19858.493039797348</v>
      </c>
      <c r="M17" s="647">
        <f t="shared" si="10"/>
        <v>20470.896051183208</v>
      </c>
      <c r="N17" s="647">
        <f t="shared" si="11"/>
        <v>21912.676211805461</v>
      </c>
      <c r="O17" s="648">
        <f t="shared" si="12"/>
        <v>245634.50316366795</v>
      </c>
      <c r="P17" s="649"/>
    </row>
    <row r="18" spans="1:16" x14ac:dyDescent="0.2">
      <c r="A18" s="645" t="s">
        <v>286</v>
      </c>
      <c r="B18" s="646">
        <f>FGP!U22</f>
        <v>3.47024316370329</v>
      </c>
      <c r="C18" s="647">
        <f t="shared" si="0"/>
        <v>30121.837324820037</v>
      </c>
      <c r="D18" s="647">
        <f t="shared" si="1"/>
        <v>33118.198830621448</v>
      </c>
      <c r="E18" s="647">
        <f t="shared" si="2"/>
        <v>28552.576014977585</v>
      </c>
      <c r="F18" s="647">
        <f t="shared" si="3"/>
        <v>25972.00863432161</v>
      </c>
      <c r="G18" s="647">
        <f t="shared" si="4"/>
        <v>27071.834535315676</v>
      </c>
      <c r="H18" s="647">
        <f t="shared" si="5"/>
        <v>22087.73943436479</v>
      </c>
      <c r="I18" s="647">
        <f t="shared" si="6"/>
        <v>23691.879290684825</v>
      </c>
      <c r="J18" s="647">
        <f t="shared" si="7"/>
        <v>26323.417602929276</v>
      </c>
      <c r="K18" s="647">
        <f t="shared" si="8"/>
        <v>25660.834532514709</v>
      </c>
      <c r="L18" s="647">
        <f t="shared" si="9"/>
        <v>26269.768511179216</v>
      </c>
      <c r="M18" s="647">
        <f t="shared" si="10"/>
        <v>27079.884631894678</v>
      </c>
      <c r="N18" s="647">
        <f t="shared" si="11"/>
        <v>28987.140685395498</v>
      </c>
      <c r="O18" s="648">
        <f t="shared" si="12"/>
        <v>324937.12002901942</v>
      </c>
      <c r="P18" s="649"/>
    </row>
    <row r="19" spans="1:16" x14ac:dyDescent="0.2">
      <c r="A19" s="645" t="s">
        <v>287</v>
      </c>
      <c r="B19" s="646">
        <f>FGP!U23</f>
        <v>6.2041478931823457</v>
      </c>
      <c r="C19" s="647">
        <f t="shared" si="0"/>
        <v>53852.230164220862</v>
      </c>
      <c r="D19" s="647">
        <f t="shared" si="1"/>
        <v>59209.16598873878</v>
      </c>
      <c r="E19" s="647">
        <f t="shared" si="2"/>
        <v>51046.683466184346</v>
      </c>
      <c r="F19" s="647">
        <f t="shared" si="3"/>
        <v>46433.110029783864</v>
      </c>
      <c r="G19" s="647">
        <f t="shared" si="4"/>
        <v>48399.393723644083</v>
      </c>
      <c r="H19" s="647">
        <f t="shared" si="5"/>
        <v>39488.760761835663</v>
      </c>
      <c r="I19" s="647">
        <f t="shared" si="6"/>
        <v>42356.663799309579</v>
      </c>
      <c r="J19" s="647">
        <f t="shared" si="7"/>
        <v>47061.363759965134</v>
      </c>
      <c r="K19" s="647">
        <f t="shared" si="8"/>
        <v>45876.788741313117</v>
      </c>
      <c r="L19" s="647">
        <f t="shared" si="9"/>
        <v>46965.44918457351</v>
      </c>
      <c r="M19" s="647">
        <f t="shared" si="10"/>
        <v>48413.785795719297</v>
      </c>
      <c r="N19" s="647">
        <f t="shared" si="11"/>
        <v>51823.604090255991</v>
      </c>
      <c r="O19" s="648">
        <f t="shared" si="12"/>
        <v>580926.9995055442</v>
      </c>
      <c r="P19" s="649"/>
    </row>
    <row r="20" spans="1:16" x14ac:dyDescent="0.2">
      <c r="A20" s="645" t="s">
        <v>162</v>
      </c>
      <c r="B20" s="646">
        <f>FGP!U24</f>
        <v>3.8393518392015826</v>
      </c>
      <c r="C20" s="647">
        <f t="shared" si="0"/>
        <v>33325.714100611869</v>
      </c>
      <c r="D20" s="647">
        <f t="shared" si="1"/>
        <v>36640.780369897402</v>
      </c>
      <c r="E20" s="647">
        <f t="shared" si="2"/>
        <v>31589.540002165715</v>
      </c>
      <c r="F20" s="647">
        <f t="shared" si="3"/>
        <v>28734.493352197806</v>
      </c>
      <c r="G20" s="647">
        <f t="shared" si="4"/>
        <v>29951.301050271875</v>
      </c>
      <c r="H20" s="647">
        <f t="shared" si="5"/>
        <v>24437.078043440677</v>
      </c>
      <c r="I20" s="647">
        <f t="shared" si="6"/>
        <v>26211.840507384684</v>
      </c>
      <c r="J20" s="647">
        <f t="shared" si="7"/>
        <v>29123.279557166792</v>
      </c>
      <c r="K20" s="647">
        <f t="shared" si="8"/>
        <v>28390.221552290473</v>
      </c>
      <c r="L20" s="647">
        <f t="shared" si="9"/>
        <v>29063.924137570695</v>
      </c>
      <c r="M20" s="647">
        <f t="shared" si="10"/>
        <v>29960.207386700869</v>
      </c>
      <c r="N20" s="647">
        <f t="shared" si="11"/>
        <v>32070.326675581575</v>
      </c>
      <c r="O20" s="648">
        <f t="shared" si="12"/>
        <v>359498.7067352804</v>
      </c>
      <c r="P20" s="649"/>
    </row>
    <row r="21" spans="1:16" x14ac:dyDescent="0.2">
      <c r="A21" s="645" t="s">
        <v>163</v>
      </c>
      <c r="B21" s="646">
        <f>FGP!U25</f>
        <v>22.121676932241215</v>
      </c>
      <c r="C21" s="647">
        <f t="shared" si="0"/>
        <v>192016.96321306177</v>
      </c>
      <c r="D21" s="647">
        <f t="shared" si="1"/>
        <v>211117.79796056313</v>
      </c>
      <c r="E21" s="647">
        <f t="shared" si="2"/>
        <v>182013.43029591764</v>
      </c>
      <c r="F21" s="647">
        <f t="shared" si="3"/>
        <v>165563.14851340666</v>
      </c>
      <c r="G21" s="647">
        <f t="shared" si="4"/>
        <v>172574.18264438034</v>
      </c>
      <c r="H21" s="647">
        <f t="shared" si="5"/>
        <v>140802.1896105721</v>
      </c>
      <c r="I21" s="647">
        <f t="shared" si="6"/>
        <v>151028.06197214295</v>
      </c>
      <c r="J21" s="647">
        <f t="shared" si="7"/>
        <v>167803.26694543465</v>
      </c>
      <c r="K21" s="647">
        <f t="shared" si="8"/>
        <v>163579.5143341503</v>
      </c>
      <c r="L21" s="647">
        <f t="shared" si="9"/>
        <v>167461.27135048146</v>
      </c>
      <c r="M21" s="647">
        <f t="shared" si="10"/>
        <v>172625.49940444392</v>
      </c>
      <c r="N21" s="647">
        <f t="shared" si="11"/>
        <v>184783.63941143444</v>
      </c>
      <c r="O21" s="648">
        <f t="shared" si="12"/>
        <v>2071368.9656559897</v>
      </c>
      <c r="P21" s="649"/>
    </row>
    <row r="22" spans="1:16" x14ac:dyDescent="0.2">
      <c r="A22" s="645" t="s">
        <v>164</v>
      </c>
      <c r="B22" s="646">
        <f>FGP!U26</f>
        <v>3.78887364871294</v>
      </c>
      <c r="C22" s="647">
        <f t="shared" si="0"/>
        <v>32887.561564716496</v>
      </c>
      <c r="D22" s="647">
        <f t="shared" si="1"/>
        <v>36159.042730674206</v>
      </c>
      <c r="E22" s="647">
        <f t="shared" si="2"/>
        <v>31174.213956400265</v>
      </c>
      <c r="F22" s="647">
        <f t="shared" si="3"/>
        <v>28356.704264410393</v>
      </c>
      <c r="G22" s="647">
        <f t="shared" si="4"/>
        <v>29557.51388433381</v>
      </c>
      <c r="H22" s="647">
        <f t="shared" si="5"/>
        <v>24115.789572853639</v>
      </c>
      <c r="I22" s="647">
        <f t="shared" si="6"/>
        <v>25867.218202994671</v>
      </c>
      <c r="J22" s="647">
        <f t="shared" si="7"/>
        <v>28740.378871136832</v>
      </c>
      <c r="K22" s="647">
        <f t="shared" si="8"/>
        <v>28016.958805985538</v>
      </c>
      <c r="L22" s="647">
        <f t="shared" si="9"/>
        <v>28681.803831746147</v>
      </c>
      <c r="M22" s="647">
        <f t="shared" si="10"/>
        <v>29566.303123980411</v>
      </c>
      <c r="N22" s="647">
        <f t="shared" si="11"/>
        <v>31648.679447933988</v>
      </c>
      <c r="O22" s="648">
        <f t="shared" si="12"/>
        <v>354772.1682571664</v>
      </c>
      <c r="P22" s="649"/>
    </row>
    <row r="23" spans="1:16" ht="13.5" thickBot="1" x14ac:dyDescent="0.25">
      <c r="A23" s="645" t="s">
        <v>165</v>
      </c>
      <c r="B23" s="646">
        <f>FGP!U27</f>
        <v>4.8203192371739387</v>
      </c>
      <c r="C23" s="647">
        <f t="shared" si="0"/>
        <v>41840.546920321947</v>
      </c>
      <c r="D23" s="647">
        <f t="shared" si="1"/>
        <v>46002.623848824172</v>
      </c>
      <c r="E23" s="647">
        <f t="shared" si="2"/>
        <v>39660.774459675704</v>
      </c>
      <c r="F23" s="647">
        <f t="shared" si="3"/>
        <v>36076.25372121395</v>
      </c>
      <c r="G23" s="647">
        <f t="shared" si="4"/>
        <v>37603.959907211101</v>
      </c>
      <c r="H23" s="647">
        <f t="shared" si="5"/>
        <v>30680.834246650884</v>
      </c>
      <c r="I23" s="647">
        <f t="shared" si="6"/>
        <v>32909.054530870148</v>
      </c>
      <c r="J23" s="647">
        <f t="shared" si="7"/>
        <v>36564.376118287517</v>
      </c>
      <c r="K23" s="647">
        <f t="shared" si="8"/>
        <v>35644.019310455995</v>
      </c>
      <c r="L23" s="647">
        <f t="shared" si="9"/>
        <v>36489.855187960617</v>
      </c>
      <c r="M23" s="647">
        <f t="shared" si="10"/>
        <v>37615.141842761543</v>
      </c>
      <c r="N23" s="647">
        <f t="shared" si="11"/>
        <v>40264.403756470048</v>
      </c>
      <c r="O23" s="648">
        <f t="shared" si="12"/>
        <v>451351.84385070368</v>
      </c>
      <c r="P23" s="649"/>
    </row>
    <row r="24" spans="1:16" ht="13.5" thickBot="1" x14ac:dyDescent="0.25">
      <c r="A24" s="650" t="s">
        <v>288</v>
      </c>
      <c r="B24" s="679">
        <f>SUM(B4:B23)</f>
        <v>99.999999999999972</v>
      </c>
      <c r="C24" s="652">
        <f>'X22.55 POE'!B85</f>
        <v>868003.65</v>
      </c>
      <c r="D24" s="652">
        <f>'X22.55 POE'!C85</f>
        <v>954348.07500000007</v>
      </c>
      <c r="E24" s="652">
        <f>'X22.55 POE'!D85</f>
        <v>822783.15</v>
      </c>
      <c r="F24" s="652">
        <f>'X22.55 POE'!E85</f>
        <v>748420.42500000005</v>
      </c>
      <c r="G24" s="652">
        <f>'X22.55 POE'!F85</f>
        <v>780113.47499999998</v>
      </c>
      <c r="H24" s="652">
        <f>'X22.55 POE'!G85</f>
        <v>636489.67500000005</v>
      </c>
      <c r="I24" s="652">
        <f>'X22.55 POE'!H85</f>
        <v>682715.25</v>
      </c>
      <c r="J24" s="652">
        <f>'X22.55 POE'!I85</f>
        <v>758546.77500000002</v>
      </c>
      <c r="K24" s="652">
        <f>'X22.55 POE'!J85</f>
        <v>739453.5</v>
      </c>
      <c r="L24" s="652">
        <f>'X22.55 POE'!K85</f>
        <v>757000.8</v>
      </c>
      <c r="M24" s="652">
        <f>'X22.55 POE'!L85</f>
        <v>780345.45000000007</v>
      </c>
      <c r="N24" s="652">
        <f>'X22.55 POE'!M85</f>
        <v>835305.75</v>
      </c>
      <c r="O24" s="652">
        <f>SUM(C24:N24)</f>
        <v>9363525.9749999996</v>
      </c>
    </row>
    <row r="25" spans="1:16" x14ac:dyDescent="0.2">
      <c r="A25" s="654" t="s">
        <v>289</v>
      </c>
      <c r="O25" s="649"/>
    </row>
    <row r="49" spans="3:14" x14ac:dyDescent="0.2">
      <c r="C49" s="756"/>
      <c r="D49" s="756"/>
      <c r="E49" s="756"/>
      <c r="F49" s="756"/>
      <c r="G49" s="756"/>
      <c r="H49" s="756"/>
      <c r="I49" s="756"/>
      <c r="J49" s="756"/>
      <c r="K49" s="756"/>
      <c r="L49" s="756"/>
      <c r="M49" s="756"/>
      <c r="N49" s="756"/>
    </row>
    <row r="50" spans="3:14" x14ac:dyDescent="0.2">
      <c r="C50" s="756"/>
      <c r="D50" s="756"/>
      <c r="E50" s="756"/>
      <c r="F50" s="756"/>
      <c r="G50" s="756"/>
      <c r="H50" s="756"/>
      <c r="I50" s="756"/>
      <c r="J50" s="756"/>
      <c r="K50" s="756"/>
      <c r="L50" s="756"/>
      <c r="M50" s="756"/>
      <c r="N50" s="756"/>
    </row>
    <row r="51" spans="3:14" x14ac:dyDescent="0.2">
      <c r="C51" s="756"/>
      <c r="D51" s="756"/>
      <c r="E51" s="756"/>
      <c r="F51" s="756"/>
      <c r="G51" s="756"/>
      <c r="H51" s="756"/>
      <c r="I51" s="756"/>
      <c r="J51" s="756"/>
      <c r="K51" s="756"/>
      <c r="L51" s="756"/>
      <c r="M51" s="756"/>
      <c r="N51" s="756"/>
    </row>
    <row r="52" spans="3:14" x14ac:dyDescent="0.2">
      <c r="C52" s="756"/>
      <c r="D52" s="756"/>
      <c r="E52" s="756"/>
      <c r="F52" s="756"/>
      <c r="G52" s="756"/>
      <c r="H52" s="756"/>
      <c r="I52" s="756"/>
      <c r="J52" s="756"/>
      <c r="K52" s="756"/>
      <c r="L52" s="756"/>
      <c r="M52" s="756"/>
      <c r="N52" s="756"/>
    </row>
    <row r="53" spans="3:14" x14ac:dyDescent="0.2">
      <c r="C53" s="756"/>
      <c r="D53" s="756"/>
      <c r="E53" s="756"/>
      <c r="F53" s="756"/>
      <c r="G53" s="756"/>
      <c r="H53" s="756"/>
      <c r="I53" s="756"/>
      <c r="J53" s="756"/>
      <c r="K53" s="756"/>
      <c r="L53" s="756"/>
      <c r="M53" s="756"/>
      <c r="N53" s="756"/>
    </row>
    <row r="54" spans="3:14" x14ac:dyDescent="0.2">
      <c r="C54" s="756"/>
      <c r="D54" s="756"/>
      <c r="E54" s="756"/>
      <c r="F54" s="756"/>
      <c r="G54" s="756"/>
      <c r="H54" s="756"/>
      <c r="I54" s="756"/>
      <c r="J54" s="756"/>
      <c r="K54" s="756"/>
      <c r="L54" s="756"/>
      <c r="M54" s="756"/>
      <c r="N54" s="756"/>
    </row>
    <row r="55" spans="3:14" x14ac:dyDescent="0.2">
      <c r="C55" s="756"/>
      <c r="D55" s="756"/>
      <c r="E55" s="756"/>
      <c r="F55" s="756"/>
      <c r="G55" s="756"/>
      <c r="H55" s="756"/>
      <c r="I55" s="756"/>
      <c r="J55" s="756"/>
      <c r="K55" s="756"/>
      <c r="L55" s="756"/>
      <c r="M55" s="756"/>
      <c r="N55" s="756"/>
    </row>
    <row r="56" spans="3:14" x14ac:dyDescent="0.2">
      <c r="C56" s="756"/>
      <c r="D56" s="756"/>
      <c r="E56" s="756"/>
      <c r="F56" s="756"/>
      <c r="G56" s="756"/>
      <c r="H56" s="756"/>
      <c r="I56" s="756"/>
      <c r="J56" s="756"/>
      <c r="K56" s="756"/>
      <c r="L56" s="756"/>
      <c r="M56" s="756"/>
      <c r="N56" s="756"/>
    </row>
    <row r="57" spans="3:14" x14ac:dyDescent="0.2">
      <c r="C57" s="756"/>
      <c r="D57" s="756"/>
      <c r="E57" s="756"/>
      <c r="F57" s="756"/>
      <c r="G57" s="756"/>
      <c r="H57" s="756"/>
      <c r="I57" s="756"/>
      <c r="J57" s="756"/>
      <c r="K57" s="756"/>
      <c r="L57" s="756"/>
      <c r="M57" s="756"/>
      <c r="N57" s="756"/>
    </row>
    <row r="58" spans="3:14" x14ac:dyDescent="0.2">
      <c r="C58" s="756"/>
      <c r="D58" s="756"/>
      <c r="E58" s="756"/>
      <c r="F58" s="756"/>
      <c r="G58" s="756"/>
      <c r="H58" s="756"/>
      <c r="I58" s="756"/>
      <c r="J58" s="756"/>
      <c r="K58" s="756"/>
      <c r="L58" s="756"/>
      <c r="M58" s="756"/>
      <c r="N58" s="756"/>
    </row>
    <row r="59" spans="3:14" x14ac:dyDescent="0.2">
      <c r="C59" s="756"/>
      <c r="D59" s="756"/>
      <c r="E59" s="756"/>
      <c r="F59" s="756"/>
      <c r="G59" s="756"/>
      <c r="H59" s="756"/>
      <c r="I59" s="756"/>
      <c r="J59" s="756"/>
      <c r="K59" s="756"/>
      <c r="L59" s="756"/>
      <c r="M59" s="756"/>
      <c r="N59" s="756"/>
    </row>
    <row r="60" spans="3:14" x14ac:dyDescent="0.2">
      <c r="C60" s="756"/>
      <c r="D60" s="756"/>
      <c r="E60" s="756"/>
      <c r="F60" s="756"/>
      <c r="G60" s="756"/>
      <c r="H60" s="756"/>
      <c r="I60" s="756"/>
      <c r="J60" s="756"/>
      <c r="K60" s="756"/>
      <c r="L60" s="756"/>
      <c r="M60" s="756"/>
      <c r="N60" s="756"/>
    </row>
    <row r="61" spans="3:14" x14ac:dyDescent="0.2">
      <c r="C61" s="756"/>
      <c r="D61" s="756"/>
      <c r="E61" s="756"/>
      <c r="F61" s="756"/>
      <c r="G61" s="756"/>
      <c r="H61" s="756"/>
      <c r="I61" s="756"/>
      <c r="J61" s="756"/>
      <c r="K61" s="756"/>
      <c r="L61" s="756"/>
      <c r="M61" s="756"/>
      <c r="N61" s="756"/>
    </row>
    <row r="62" spans="3:14" x14ac:dyDescent="0.2">
      <c r="C62" s="756"/>
      <c r="D62" s="756"/>
      <c r="E62" s="756"/>
      <c r="F62" s="756"/>
      <c r="G62" s="756"/>
      <c r="H62" s="756"/>
      <c r="I62" s="756"/>
      <c r="J62" s="756"/>
      <c r="K62" s="756"/>
      <c r="L62" s="756"/>
      <c r="M62" s="756"/>
      <c r="N62" s="756"/>
    </row>
    <row r="63" spans="3:14" x14ac:dyDescent="0.2">
      <c r="C63" s="756"/>
      <c r="D63" s="756"/>
      <c r="E63" s="756"/>
      <c r="F63" s="756"/>
      <c r="G63" s="756"/>
      <c r="H63" s="756"/>
      <c r="I63" s="756"/>
      <c r="J63" s="756"/>
      <c r="K63" s="756"/>
      <c r="L63" s="756"/>
      <c r="M63" s="756"/>
      <c r="N63" s="756"/>
    </row>
    <row r="64" spans="3:14" x14ac:dyDescent="0.2">
      <c r="C64" s="756"/>
      <c r="D64" s="756"/>
      <c r="E64" s="756"/>
      <c r="F64" s="756"/>
      <c r="G64" s="756"/>
      <c r="H64" s="756"/>
      <c r="I64" s="756"/>
      <c r="J64" s="756"/>
      <c r="K64" s="756"/>
      <c r="L64" s="756"/>
      <c r="M64" s="756"/>
      <c r="N64" s="756"/>
    </row>
    <row r="65" spans="3:14" x14ac:dyDescent="0.2">
      <c r="C65" s="756"/>
      <c r="D65" s="756"/>
      <c r="E65" s="756"/>
      <c r="F65" s="756"/>
      <c r="G65" s="756"/>
      <c r="H65" s="756"/>
      <c r="I65" s="756"/>
      <c r="J65" s="756"/>
      <c r="K65" s="756"/>
      <c r="L65" s="756"/>
      <c r="M65" s="756"/>
      <c r="N65" s="756"/>
    </row>
    <row r="66" spans="3:14" x14ac:dyDescent="0.2">
      <c r="C66" s="756"/>
      <c r="D66" s="756"/>
      <c r="E66" s="756"/>
      <c r="F66" s="756"/>
      <c r="G66" s="756"/>
      <c r="H66" s="756"/>
      <c r="I66" s="756"/>
      <c r="J66" s="756"/>
      <c r="K66" s="756"/>
      <c r="L66" s="756"/>
      <c r="M66" s="756"/>
      <c r="N66" s="756"/>
    </row>
    <row r="67" spans="3:14" x14ac:dyDescent="0.2">
      <c r="C67" s="756"/>
      <c r="D67" s="756"/>
      <c r="E67" s="756"/>
      <c r="F67" s="756"/>
      <c r="G67" s="756"/>
      <c r="H67" s="756"/>
      <c r="I67" s="756"/>
      <c r="J67" s="756"/>
      <c r="K67" s="756"/>
      <c r="L67" s="756"/>
      <c r="M67" s="756"/>
      <c r="N67" s="756"/>
    </row>
    <row r="68" spans="3:14" x14ac:dyDescent="0.2">
      <c r="C68" s="756"/>
      <c r="D68" s="756"/>
      <c r="E68" s="756"/>
      <c r="F68" s="756"/>
      <c r="G68" s="756"/>
      <c r="H68" s="756"/>
      <c r="I68" s="756"/>
      <c r="J68" s="756"/>
      <c r="K68" s="756"/>
      <c r="L68" s="756"/>
      <c r="M68" s="756"/>
      <c r="N68" s="756"/>
    </row>
    <row r="69" spans="3:14" x14ac:dyDescent="0.2">
      <c r="C69" s="756"/>
      <c r="D69" s="756"/>
      <c r="E69" s="756"/>
      <c r="F69" s="756"/>
      <c r="G69" s="756"/>
      <c r="H69" s="756"/>
      <c r="I69" s="756"/>
      <c r="J69" s="756"/>
      <c r="K69" s="756"/>
      <c r="L69" s="756"/>
      <c r="M69" s="756"/>
      <c r="N69" s="756"/>
    </row>
  </sheetData>
  <mergeCells count="1">
    <mergeCell ref="A1:O1"/>
  </mergeCells>
  <printOptions horizontalCentered="1"/>
  <pageMargins left="0.78740157480314965" right="0.78740157480314965" top="0.98425196850393704" bottom="0.98425196850393704" header="0" footer="0"/>
  <pageSetup paperSize="5" scale="9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Q76"/>
  <sheetViews>
    <sheetView workbookViewId="0">
      <selection sqref="A1:O1"/>
    </sheetView>
  </sheetViews>
  <sheetFormatPr baseColWidth="10" defaultRowHeight="15" x14ac:dyDescent="0.25"/>
  <cols>
    <col min="1" max="1" width="16.5703125" customWidth="1"/>
    <col min="2" max="2" width="9.28515625" hidden="1" customWidth="1"/>
    <col min="3" max="15" width="9.7109375" customWidth="1"/>
    <col min="16" max="16" width="12.7109375" bestFit="1" customWidth="1"/>
  </cols>
  <sheetData>
    <row r="1" spans="1:17" s="640" customFormat="1" ht="12.75" x14ac:dyDescent="0.2">
      <c r="A1" s="1237" t="s">
        <v>430</v>
      </c>
      <c r="B1" s="1237"/>
      <c r="C1" s="1237"/>
      <c r="D1" s="1237"/>
      <c r="E1" s="1237"/>
      <c r="F1" s="1237"/>
      <c r="G1" s="1237"/>
      <c r="H1" s="1237"/>
      <c r="I1" s="1237"/>
      <c r="J1" s="1237"/>
      <c r="K1" s="1237"/>
      <c r="L1" s="1237"/>
      <c r="M1" s="1237"/>
      <c r="N1" s="1237"/>
      <c r="O1" s="1237"/>
    </row>
    <row r="2" spans="1:17" s="640" customFormat="1" ht="13.5" thickBot="1" x14ac:dyDescent="0.25"/>
    <row r="3" spans="1:17" s="640" customFormat="1" ht="23.25" customHeight="1" thickBot="1" x14ac:dyDescent="0.25">
      <c r="A3" s="641" t="s">
        <v>346</v>
      </c>
      <c r="B3" s="687" t="s">
        <v>281</v>
      </c>
      <c r="C3" s="641" t="s">
        <v>1</v>
      </c>
      <c r="D3" s="643" t="s">
        <v>2</v>
      </c>
      <c r="E3" s="641" t="s">
        <v>3</v>
      </c>
      <c r="F3" s="643" t="s">
        <v>4</v>
      </c>
      <c r="G3" s="641" t="s">
        <v>5</v>
      </c>
      <c r="H3" s="641" t="s">
        <v>6</v>
      </c>
      <c r="I3" s="641" t="s">
        <v>7</v>
      </c>
      <c r="J3" s="643" t="s">
        <v>8</v>
      </c>
      <c r="K3" s="641" t="s">
        <v>9</v>
      </c>
      <c r="L3" s="643" t="s">
        <v>10</v>
      </c>
      <c r="M3" s="641" t="s">
        <v>11</v>
      </c>
      <c r="N3" s="641" t="s">
        <v>12</v>
      </c>
      <c r="O3" s="644" t="s">
        <v>168</v>
      </c>
    </row>
    <row r="4" spans="1:17" s="640" customFormat="1" ht="12.75" customHeight="1" x14ac:dyDescent="0.2">
      <c r="A4" s="645" t="s">
        <v>282</v>
      </c>
      <c r="B4" s="646">
        <f>FGP!U8</f>
        <v>3.6689125344346443</v>
      </c>
      <c r="C4" s="647">
        <f>$C$24*B4/100</f>
        <v>8021.551455513757</v>
      </c>
      <c r="D4" s="647">
        <f>$D$24*B4/100</f>
        <v>8021.551455513757</v>
      </c>
      <c r="E4" s="647">
        <f>$E$24*B4/100</f>
        <v>8021.551455513757</v>
      </c>
      <c r="F4" s="647">
        <f>$F$24*B4/100</f>
        <v>8021.551455513757</v>
      </c>
      <c r="G4" s="647">
        <f>$G$24*B4/100</f>
        <v>8021.551455513757</v>
      </c>
      <c r="H4" s="647">
        <f>$H$24*B4/100</f>
        <v>8021.551455513757</v>
      </c>
      <c r="I4" s="647">
        <f>$I$24*B4/100</f>
        <v>8021.551455513757</v>
      </c>
      <c r="J4" s="647">
        <f>$J$24*B4/100</f>
        <v>8021.551455513757</v>
      </c>
      <c r="K4" s="647">
        <f>$K$24*B4/100</f>
        <v>8021.551455513757</v>
      </c>
      <c r="L4" s="647">
        <f>$L$24*B4/100</f>
        <v>8021.551455513757</v>
      </c>
      <c r="M4" s="647">
        <f>$M$24*B4/100</f>
        <v>8021.551455513757</v>
      </c>
      <c r="N4" s="647">
        <f>$N$24*B4/100</f>
        <v>8021.551455513757</v>
      </c>
      <c r="O4" s="648">
        <f>SUM(C4:N4)</f>
        <v>96258.617466165102</v>
      </c>
      <c r="P4" s="649"/>
      <c r="Q4" s="649"/>
    </row>
    <row r="5" spans="1:17" s="640" customFormat="1" ht="12.75" customHeight="1" x14ac:dyDescent="0.2">
      <c r="A5" s="645" t="s">
        <v>147</v>
      </c>
      <c r="B5" s="646">
        <f>FGP!U9</f>
        <v>3.0189415127607973</v>
      </c>
      <c r="C5" s="647">
        <f t="shared" ref="C5:C23" si="0">$C$24*B5/100</f>
        <v>6600.4829655959338</v>
      </c>
      <c r="D5" s="647">
        <f t="shared" ref="D5:D23" si="1">$D$24*B5/100</f>
        <v>6600.4829655959338</v>
      </c>
      <c r="E5" s="647">
        <f t="shared" ref="E5:E23" si="2">$E$24*B5/100</f>
        <v>6600.4829655959338</v>
      </c>
      <c r="F5" s="647">
        <f t="shared" ref="F5:F23" si="3">$F$24*B5/100</f>
        <v>6600.4829655959338</v>
      </c>
      <c r="G5" s="647">
        <f t="shared" ref="G5:G23" si="4">$G$24*B5/100</f>
        <v>6600.4829655959338</v>
      </c>
      <c r="H5" s="647">
        <f t="shared" ref="H5:H23" si="5">$H$24*B5/100</f>
        <v>6600.4829655959338</v>
      </c>
      <c r="I5" s="647">
        <f t="shared" ref="I5:I23" si="6">$I$24*B5/100</f>
        <v>6600.4829655959338</v>
      </c>
      <c r="J5" s="647">
        <f t="shared" ref="J5:J23" si="7">$J$24*B5/100</f>
        <v>6600.4829655959338</v>
      </c>
      <c r="K5" s="647">
        <f t="shared" ref="K5:K23" si="8">$K$24*B5/100</f>
        <v>6600.4829655959338</v>
      </c>
      <c r="L5" s="647">
        <f t="shared" ref="L5:L23" si="9">$L$24*B5/100</f>
        <v>6600.4829655959338</v>
      </c>
      <c r="M5" s="647">
        <f t="shared" ref="M5:M23" si="10">$M$24*B5/100</f>
        <v>6600.4829655959338</v>
      </c>
      <c r="N5" s="647">
        <f t="shared" ref="N5:N23" si="11">$N$24*B5/100</f>
        <v>6600.4829655959338</v>
      </c>
      <c r="O5" s="648">
        <f t="shared" ref="O5:O23" si="12">SUM(C5:N5)</f>
        <v>79205.795587151209</v>
      </c>
      <c r="P5" s="649"/>
    </row>
    <row r="6" spans="1:17" s="640" customFormat="1" ht="12.75" customHeight="1" x14ac:dyDescent="0.2">
      <c r="A6" s="645" t="s">
        <v>148</v>
      </c>
      <c r="B6" s="646">
        <f>FGP!U10</f>
        <v>2.9158506739591776</v>
      </c>
      <c r="C6" s="647">
        <f t="shared" si="0"/>
        <v>6375.0896207620281</v>
      </c>
      <c r="D6" s="647">
        <f t="shared" si="1"/>
        <v>6375.0896207620281</v>
      </c>
      <c r="E6" s="647">
        <f t="shared" si="2"/>
        <v>6375.0896207620281</v>
      </c>
      <c r="F6" s="647">
        <f t="shared" si="3"/>
        <v>6375.0896207620281</v>
      </c>
      <c r="G6" s="647">
        <f t="shared" si="4"/>
        <v>6375.0896207620281</v>
      </c>
      <c r="H6" s="647">
        <f t="shared" si="5"/>
        <v>6375.0896207620281</v>
      </c>
      <c r="I6" s="647">
        <f t="shared" si="6"/>
        <v>6375.0896207620281</v>
      </c>
      <c r="J6" s="647">
        <f t="shared" si="7"/>
        <v>6375.0896207620281</v>
      </c>
      <c r="K6" s="647">
        <f t="shared" si="8"/>
        <v>6375.0896207620281</v>
      </c>
      <c r="L6" s="647">
        <f t="shared" si="9"/>
        <v>6375.0896207620281</v>
      </c>
      <c r="M6" s="647">
        <f t="shared" si="10"/>
        <v>6375.0896207620281</v>
      </c>
      <c r="N6" s="647">
        <f t="shared" si="11"/>
        <v>6375.0896207620281</v>
      </c>
      <c r="O6" s="648">
        <f t="shared" si="12"/>
        <v>76501.075449144322</v>
      </c>
      <c r="P6" s="649"/>
    </row>
    <row r="7" spans="1:17" s="640" customFormat="1" ht="12.75" customHeight="1" x14ac:dyDescent="0.2">
      <c r="A7" s="645" t="s">
        <v>283</v>
      </c>
      <c r="B7" s="646">
        <f>FGP!U11</f>
        <v>10.636056638976944</v>
      </c>
      <c r="C7" s="647">
        <f t="shared" si="0"/>
        <v>23254.213561256012</v>
      </c>
      <c r="D7" s="647">
        <f t="shared" si="1"/>
        <v>23254.213561256012</v>
      </c>
      <c r="E7" s="647">
        <f t="shared" si="2"/>
        <v>23254.213561256012</v>
      </c>
      <c r="F7" s="647">
        <f t="shared" si="3"/>
        <v>23254.213561256012</v>
      </c>
      <c r="G7" s="647">
        <f t="shared" si="4"/>
        <v>23254.213561256012</v>
      </c>
      <c r="H7" s="647">
        <f t="shared" si="5"/>
        <v>23254.213561256012</v>
      </c>
      <c r="I7" s="647">
        <f t="shared" si="6"/>
        <v>23254.213561256012</v>
      </c>
      <c r="J7" s="647">
        <f t="shared" si="7"/>
        <v>23254.213561256012</v>
      </c>
      <c r="K7" s="647">
        <f t="shared" si="8"/>
        <v>23254.213561256012</v>
      </c>
      <c r="L7" s="647">
        <f t="shared" si="9"/>
        <v>23254.213561256012</v>
      </c>
      <c r="M7" s="647">
        <f t="shared" si="10"/>
        <v>23254.213561256012</v>
      </c>
      <c r="N7" s="647">
        <f t="shared" si="11"/>
        <v>23254.213561256012</v>
      </c>
      <c r="O7" s="648">
        <f t="shared" si="12"/>
        <v>279050.56273507216</v>
      </c>
      <c r="P7" s="649"/>
    </row>
    <row r="8" spans="1:17" s="640" customFormat="1" ht="12.75" customHeight="1" x14ac:dyDescent="0.2">
      <c r="A8" s="645" t="s">
        <v>150</v>
      </c>
      <c r="B8" s="646">
        <f>FGP!U12</f>
        <v>4.9259786013988212</v>
      </c>
      <c r="C8" s="647">
        <f t="shared" si="0"/>
        <v>10769.946257650206</v>
      </c>
      <c r="D8" s="647">
        <f t="shared" si="1"/>
        <v>10769.946257650206</v>
      </c>
      <c r="E8" s="647">
        <f t="shared" si="2"/>
        <v>10769.946257650206</v>
      </c>
      <c r="F8" s="647">
        <f t="shared" si="3"/>
        <v>10769.946257650206</v>
      </c>
      <c r="G8" s="647">
        <f t="shared" si="4"/>
        <v>10769.946257650206</v>
      </c>
      <c r="H8" s="647">
        <f t="shared" si="5"/>
        <v>10769.946257650206</v>
      </c>
      <c r="I8" s="647">
        <f t="shared" si="6"/>
        <v>10769.946257650206</v>
      </c>
      <c r="J8" s="647">
        <f t="shared" si="7"/>
        <v>10769.946257650206</v>
      </c>
      <c r="K8" s="647">
        <f t="shared" si="8"/>
        <v>10769.946257650206</v>
      </c>
      <c r="L8" s="647">
        <f t="shared" si="9"/>
        <v>10769.946257650206</v>
      </c>
      <c r="M8" s="647">
        <f t="shared" si="10"/>
        <v>10769.946257650206</v>
      </c>
      <c r="N8" s="647">
        <f t="shared" si="11"/>
        <v>10769.946257650206</v>
      </c>
      <c r="O8" s="648">
        <f t="shared" si="12"/>
        <v>129239.3550918025</v>
      </c>
      <c r="P8" s="649"/>
    </row>
    <row r="9" spans="1:17" s="640" customFormat="1" ht="12.75" customHeight="1" x14ac:dyDescent="0.2">
      <c r="A9" s="645" t="s">
        <v>284</v>
      </c>
      <c r="B9" s="646">
        <f>FGP!U13</f>
        <v>4.5669690465560464</v>
      </c>
      <c r="C9" s="647">
        <f t="shared" si="0"/>
        <v>9985.0233165433092</v>
      </c>
      <c r="D9" s="647">
        <f t="shared" si="1"/>
        <v>9985.0233165433092</v>
      </c>
      <c r="E9" s="647">
        <f t="shared" si="2"/>
        <v>9985.0233165433092</v>
      </c>
      <c r="F9" s="647">
        <f t="shared" si="3"/>
        <v>9985.0233165433092</v>
      </c>
      <c r="G9" s="647">
        <f t="shared" si="4"/>
        <v>9985.0233165433092</v>
      </c>
      <c r="H9" s="647">
        <f t="shared" si="5"/>
        <v>9985.0233165433092</v>
      </c>
      <c r="I9" s="647">
        <f t="shared" si="6"/>
        <v>9985.0233165433092</v>
      </c>
      <c r="J9" s="647">
        <f t="shared" si="7"/>
        <v>9985.0233165433092</v>
      </c>
      <c r="K9" s="647">
        <f t="shared" si="8"/>
        <v>9985.0233165433092</v>
      </c>
      <c r="L9" s="647">
        <f t="shared" si="9"/>
        <v>9985.0233165433092</v>
      </c>
      <c r="M9" s="647">
        <f t="shared" si="10"/>
        <v>9985.0233165433092</v>
      </c>
      <c r="N9" s="647">
        <f t="shared" si="11"/>
        <v>9985.0233165433092</v>
      </c>
      <c r="O9" s="648">
        <f t="shared" si="12"/>
        <v>119820.27979851974</v>
      </c>
      <c r="P9" s="649"/>
    </row>
    <row r="10" spans="1:17" s="640" customFormat="1" ht="12.75" customHeight="1" x14ac:dyDescent="0.2">
      <c r="A10" s="645" t="s">
        <v>152</v>
      </c>
      <c r="B10" s="646">
        <f>FGP!U14</f>
        <v>3.0924320014220541</v>
      </c>
      <c r="C10" s="647">
        <f t="shared" si="0"/>
        <v>6761.1593869481167</v>
      </c>
      <c r="D10" s="647">
        <f t="shared" si="1"/>
        <v>6761.1593869481167</v>
      </c>
      <c r="E10" s="647">
        <f t="shared" si="2"/>
        <v>6761.1593869481167</v>
      </c>
      <c r="F10" s="647">
        <f t="shared" si="3"/>
        <v>6761.1593869481167</v>
      </c>
      <c r="G10" s="647">
        <f t="shared" si="4"/>
        <v>6761.1593869481167</v>
      </c>
      <c r="H10" s="647">
        <f t="shared" si="5"/>
        <v>6761.1593869481167</v>
      </c>
      <c r="I10" s="647">
        <f t="shared" si="6"/>
        <v>6761.1593869481167</v>
      </c>
      <c r="J10" s="647">
        <f t="shared" si="7"/>
        <v>6761.1593869481167</v>
      </c>
      <c r="K10" s="647">
        <f t="shared" si="8"/>
        <v>6761.1593869481167</v>
      </c>
      <c r="L10" s="647">
        <f t="shared" si="9"/>
        <v>6761.1593869481167</v>
      </c>
      <c r="M10" s="647">
        <f t="shared" si="10"/>
        <v>6761.1593869481167</v>
      </c>
      <c r="N10" s="647">
        <f t="shared" si="11"/>
        <v>6761.1593869481167</v>
      </c>
      <c r="O10" s="648">
        <f t="shared" si="12"/>
        <v>81133.912643377393</v>
      </c>
      <c r="P10" s="649"/>
    </row>
    <row r="11" spans="1:17" s="640" customFormat="1" ht="12.75" customHeight="1" x14ac:dyDescent="0.2">
      <c r="A11" s="645" t="s">
        <v>153</v>
      </c>
      <c r="B11" s="646">
        <f>FGP!U15</f>
        <v>3.5445769153881468</v>
      </c>
      <c r="C11" s="647">
        <f t="shared" si="0"/>
        <v>7749.709443316995</v>
      </c>
      <c r="D11" s="647">
        <f t="shared" si="1"/>
        <v>7749.709443316995</v>
      </c>
      <c r="E11" s="647">
        <f t="shared" si="2"/>
        <v>7749.709443316995</v>
      </c>
      <c r="F11" s="647">
        <f t="shared" si="3"/>
        <v>7749.709443316995</v>
      </c>
      <c r="G11" s="647">
        <f t="shared" si="4"/>
        <v>7749.709443316995</v>
      </c>
      <c r="H11" s="647">
        <f t="shared" si="5"/>
        <v>7749.709443316995</v>
      </c>
      <c r="I11" s="647">
        <f t="shared" si="6"/>
        <v>7749.709443316995</v>
      </c>
      <c r="J11" s="647">
        <f t="shared" si="7"/>
        <v>7749.709443316995</v>
      </c>
      <c r="K11" s="647">
        <f t="shared" si="8"/>
        <v>7749.709443316995</v>
      </c>
      <c r="L11" s="647">
        <f t="shared" si="9"/>
        <v>7749.709443316995</v>
      </c>
      <c r="M11" s="647">
        <f t="shared" si="10"/>
        <v>7749.709443316995</v>
      </c>
      <c r="N11" s="647">
        <f t="shared" si="11"/>
        <v>7749.709443316995</v>
      </c>
      <c r="O11" s="648">
        <f t="shared" si="12"/>
        <v>92996.513319803969</v>
      </c>
      <c r="P11" s="649"/>
    </row>
    <row r="12" spans="1:17" s="640" customFormat="1" ht="12.75" customHeight="1" x14ac:dyDescent="0.2">
      <c r="A12" s="645" t="s">
        <v>154</v>
      </c>
      <c r="B12" s="646">
        <f>FGP!U16</f>
        <v>2.9474150327827102</v>
      </c>
      <c r="C12" s="647">
        <f t="shared" si="0"/>
        <v>6444.100567762508</v>
      </c>
      <c r="D12" s="647">
        <f t="shared" si="1"/>
        <v>6444.100567762508</v>
      </c>
      <c r="E12" s="647">
        <f t="shared" si="2"/>
        <v>6444.100567762508</v>
      </c>
      <c r="F12" s="647">
        <f t="shared" si="3"/>
        <v>6444.100567762508</v>
      </c>
      <c r="G12" s="647">
        <f t="shared" si="4"/>
        <v>6444.100567762508</v>
      </c>
      <c r="H12" s="647">
        <f t="shared" si="5"/>
        <v>6444.100567762508</v>
      </c>
      <c r="I12" s="647">
        <f t="shared" si="6"/>
        <v>6444.100567762508</v>
      </c>
      <c r="J12" s="647">
        <f t="shared" si="7"/>
        <v>6444.100567762508</v>
      </c>
      <c r="K12" s="647">
        <f t="shared" si="8"/>
        <v>6444.100567762508</v>
      </c>
      <c r="L12" s="647">
        <f t="shared" si="9"/>
        <v>6444.100567762508</v>
      </c>
      <c r="M12" s="647">
        <f t="shared" si="10"/>
        <v>6444.100567762508</v>
      </c>
      <c r="N12" s="647">
        <f t="shared" si="11"/>
        <v>6444.100567762508</v>
      </c>
      <c r="O12" s="648">
        <f t="shared" si="12"/>
        <v>77329.2068131501</v>
      </c>
      <c r="P12" s="649"/>
    </row>
    <row r="13" spans="1:17" s="640" customFormat="1" ht="12.75" customHeight="1" x14ac:dyDescent="0.2">
      <c r="A13" s="645" t="s">
        <v>155</v>
      </c>
      <c r="B13" s="646">
        <f>FGP!U17</f>
        <v>3.1262542546374323</v>
      </c>
      <c r="C13" s="647">
        <f t="shared" si="0"/>
        <v>6835.1068964518772</v>
      </c>
      <c r="D13" s="647">
        <f t="shared" si="1"/>
        <v>6835.1068964518772</v>
      </c>
      <c r="E13" s="647">
        <f t="shared" si="2"/>
        <v>6835.1068964518772</v>
      </c>
      <c r="F13" s="647">
        <f t="shared" si="3"/>
        <v>6835.1068964518772</v>
      </c>
      <c r="G13" s="647">
        <f t="shared" si="4"/>
        <v>6835.1068964518772</v>
      </c>
      <c r="H13" s="647">
        <f t="shared" si="5"/>
        <v>6835.1068964518772</v>
      </c>
      <c r="I13" s="647">
        <f t="shared" si="6"/>
        <v>6835.1068964518772</v>
      </c>
      <c r="J13" s="647">
        <f t="shared" si="7"/>
        <v>6835.1068964518772</v>
      </c>
      <c r="K13" s="647">
        <f t="shared" si="8"/>
        <v>6835.1068964518772</v>
      </c>
      <c r="L13" s="647">
        <f t="shared" si="9"/>
        <v>6835.1068964518772</v>
      </c>
      <c r="M13" s="647">
        <f t="shared" si="10"/>
        <v>6835.1068964518772</v>
      </c>
      <c r="N13" s="647">
        <f t="shared" si="11"/>
        <v>6835.1068964518772</v>
      </c>
      <c r="O13" s="648">
        <f t="shared" si="12"/>
        <v>82021.282757422523</v>
      </c>
      <c r="P13" s="649"/>
    </row>
    <row r="14" spans="1:17" s="640" customFormat="1" ht="12.75" customHeight="1" x14ac:dyDescent="0.25">
      <c r="A14" s="645" t="s">
        <v>156</v>
      </c>
      <c r="B14" s="646">
        <f>FGP!U18</f>
        <v>3.5571999751633676</v>
      </c>
      <c r="C14" s="647">
        <f t="shared" si="0"/>
        <v>7777.3079544732618</v>
      </c>
      <c r="D14" s="647">
        <f t="shared" si="1"/>
        <v>7777.3079544732618</v>
      </c>
      <c r="E14" s="647">
        <f t="shared" si="2"/>
        <v>7777.3079544732618</v>
      </c>
      <c r="F14" s="647">
        <f t="shared" si="3"/>
        <v>7777.3079544732618</v>
      </c>
      <c r="G14" s="647">
        <f t="shared" si="4"/>
        <v>7777.3079544732618</v>
      </c>
      <c r="H14" s="647">
        <f t="shared" si="5"/>
        <v>7777.3079544732618</v>
      </c>
      <c r="I14" s="647">
        <f t="shared" si="6"/>
        <v>7777.3079544732618</v>
      </c>
      <c r="J14" s="647">
        <f t="shared" si="7"/>
        <v>7777.3079544732618</v>
      </c>
      <c r="K14" s="647">
        <f t="shared" si="8"/>
        <v>7777.3079544732618</v>
      </c>
      <c r="L14" s="647">
        <f t="shared" si="9"/>
        <v>7777.3079544732618</v>
      </c>
      <c r="M14" s="647">
        <f t="shared" si="10"/>
        <v>7777.3079544732618</v>
      </c>
      <c r="N14" s="647">
        <f t="shared" si="11"/>
        <v>7777.3079544732618</v>
      </c>
      <c r="O14" s="648">
        <f t="shared" si="12"/>
        <v>93327.695453679145</v>
      </c>
      <c r="P14" s="649"/>
      <c r="Q14"/>
    </row>
    <row r="15" spans="1:17" s="640" customFormat="1" ht="12.75" customHeight="1" x14ac:dyDescent="0.25">
      <c r="A15" s="645" t="s">
        <v>157</v>
      </c>
      <c r="B15" s="646">
        <f>FGP!U19</f>
        <v>3.2256653277433607</v>
      </c>
      <c r="C15" s="647">
        <f t="shared" si="0"/>
        <v>7052.4549609485748</v>
      </c>
      <c r="D15" s="647">
        <f t="shared" si="1"/>
        <v>7052.4549609485748</v>
      </c>
      <c r="E15" s="647">
        <f t="shared" si="2"/>
        <v>7052.4549609485748</v>
      </c>
      <c r="F15" s="647">
        <f t="shared" si="3"/>
        <v>7052.4549609485748</v>
      </c>
      <c r="G15" s="647">
        <f t="shared" si="4"/>
        <v>7052.4549609485748</v>
      </c>
      <c r="H15" s="647">
        <f t="shared" si="5"/>
        <v>7052.4549609485748</v>
      </c>
      <c r="I15" s="647">
        <f t="shared" si="6"/>
        <v>7052.4549609485748</v>
      </c>
      <c r="J15" s="647">
        <f t="shared" si="7"/>
        <v>7052.4549609485748</v>
      </c>
      <c r="K15" s="647">
        <f t="shared" si="8"/>
        <v>7052.4549609485748</v>
      </c>
      <c r="L15" s="647">
        <f t="shared" si="9"/>
        <v>7052.4549609485748</v>
      </c>
      <c r="M15" s="647">
        <f t="shared" si="10"/>
        <v>7052.4549609485748</v>
      </c>
      <c r="N15" s="647">
        <f t="shared" si="11"/>
        <v>7052.4549609485748</v>
      </c>
      <c r="O15" s="648">
        <f t="shared" si="12"/>
        <v>84629.45953138289</v>
      </c>
      <c r="P15" s="649"/>
      <c r="Q15"/>
    </row>
    <row r="16" spans="1:17" s="640" customFormat="1" ht="12.75" customHeight="1" x14ac:dyDescent="0.25">
      <c r="A16" s="645" t="s">
        <v>158</v>
      </c>
      <c r="B16" s="646">
        <f>FGP!U20</f>
        <v>3.9058227423840197</v>
      </c>
      <c r="C16" s="647">
        <f t="shared" si="0"/>
        <v>8539.5216730008888</v>
      </c>
      <c r="D16" s="647">
        <f t="shared" si="1"/>
        <v>8539.5216730008888</v>
      </c>
      <c r="E16" s="647">
        <f t="shared" si="2"/>
        <v>8539.5216730008888</v>
      </c>
      <c r="F16" s="647">
        <f t="shared" si="3"/>
        <v>8539.5216730008888</v>
      </c>
      <c r="G16" s="647">
        <f t="shared" si="4"/>
        <v>8539.5216730008888</v>
      </c>
      <c r="H16" s="647">
        <f t="shared" si="5"/>
        <v>8539.5216730008888</v>
      </c>
      <c r="I16" s="647">
        <f t="shared" si="6"/>
        <v>8539.5216730008888</v>
      </c>
      <c r="J16" s="647">
        <f t="shared" si="7"/>
        <v>8539.5216730008888</v>
      </c>
      <c r="K16" s="647">
        <f t="shared" si="8"/>
        <v>8539.5216730008888</v>
      </c>
      <c r="L16" s="647">
        <f t="shared" si="9"/>
        <v>8539.5216730008888</v>
      </c>
      <c r="M16" s="647">
        <f t="shared" si="10"/>
        <v>8539.5216730008888</v>
      </c>
      <c r="N16" s="647">
        <f t="shared" si="11"/>
        <v>8539.5216730008888</v>
      </c>
      <c r="O16" s="648">
        <f t="shared" si="12"/>
        <v>102474.26007601064</v>
      </c>
      <c r="P16" s="649"/>
      <c r="Q16"/>
    </row>
    <row r="17" spans="1:17" s="640" customFormat="1" ht="12.75" customHeight="1" x14ac:dyDescent="0.25">
      <c r="A17" s="645" t="s">
        <v>285</v>
      </c>
      <c r="B17" s="646">
        <f>FGP!U21</f>
        <v>2.6233120281771627</v>
      </c>
      <c r="C17" s="647">
        <f t="shared" si="0"/>
        <v>5735.4957962043272</v>
      </c>
      <c r="D17" s="647">
        <f t="shared" si="1"/>
        <v>5735.4957962043272</v>
      </c>
      <c r="E17" s="647">
        <f t="shared" si="2"/>
        <v>5735.4957962043272</v>
      </c>
      <c r="F17" s="647">
        <f t="shared" si="3"/>
        <v>5735.4957962043272</v>
      </c>
      <c r="G17" s="647">
        <f t="shared" si="4"/>
        <v>5735.4957962043272</v>
      </c>
      <c r="H17" s="647">
        <f t="shared" si="5"/>
        <v>5735.4957962043272</v>
      </c>
      <c r="I17" s="647">
        <f t="shared" si="6"/>
        <v>5735.4957962043272</v>
      </c>
      <c r="J17" s="647">
        <f t="shared" si="7"/>
        <v>5735.4957962043272</v>
      </c>
      <c r="K17" s="647">
        <f t="shared" si="8"/>
        <v>5735.4957962043272</v>
      </c>
      <c r="L17" s="647">
        <f t="shared" si="9"/>
        <v>5735.4957962043272</v>
      </c>
      <c r="M17" s="647">
        <f t="shared" si="10"/>
        <v>5735.4957962043272</v>
      </c>
      <c r="N17" s="647">
        <f t="shared" si="11"/>
        <v>5735.4957962043272</v>
      </c>
      <c r="O17" s="648">
        <f t="shared" si="12"/>
        <v>68825.94955445193</v>
      </c>
      <c r="P17" s="649"/>
      <c r="Q17"/>
    </row>
    <row r="18" spans="1:17" s="640" customFormat="1" ht="12.75" customHeight="1" x14ac:dyDescent="0.25">
      <c r="A18" s="645" t="s">
        <v>286</v>
      </c>
      <c r="B18" s="646">
        <f>FGP!U22</f>
        <v>3.47024316370329</v>
      </c>
      <c r="C18" s="647">
        <f t="shared" si="0"/>
        <v>7587.1893482138439</v>
      </c>
      <c r="D18" s="647">
        <f t="shared" si="1"/>
        <v>7587.1893482138439</v>
      </c>
      <c r="E18" s="647">
        <f t="shared" si="2"/>
        <v>7587.1893482138439</v>
      </c>
      <c r="F18" s="647">
        <f t="shared" si="3"/>
        <v>7587.1893482138439</v>
      </c>
      <c r="G18" s="647">
        <f t="shared" si="4"/>
        <v>7587.1893482138439</v>
      </c>
      <c r="H18" s="647">
        <f t="shared" si="5"/>
        <v>7587.1893482138439</v>
      </c>
      <c r="I18" s="647">
        <f t="shared" si="6"/>
        <v>7587.1893482138439</v>
      </c>
      <c r="J18" s="647">
        <f t="shared" si="7"/>
        <v>7587.1893482138439</v>
      </c>
      <c r="K18" s="647">
        <f t="shared" si="8"/>
        <v>7587.1893482138439</v>
      </c>
      <c r="L18" s="647">
        <f t="shared" si="9"/>
        <v>7587.1893482138439</v>
      </c>
      <c r="M18" s="647">
        <f t="shared" si="10"/>
        <v>7587.1893482138439</v>
      </c>
      <c r="N18" s="647">
        <f t="shared" si="11"/>
        <v>7587.1893482138439</v>
      </c>
      <c r="O18" s="648">
        <f t="shared" si="12"/>
        <v>91046.272178566098</v>
      </c>
      <c r="P18" s="649"/>
      <c r="Q18"/>
    </row>
    <row r="19" spans="1:17" s="640" customFormat="1" ht="12.75" customHeight="1" x14ac:dyDescent="0.25">
      <c r="A19" s="645" t="s">
        <v>287</v>
      </c>
      <c r="B19" s="646">
        <f>FGP!U23</f>
        <v>6.2041478931823457</v>
      </c>
      <c r="C19" s="647">
        <f t="shared" si="0"/>
        <v>13564.480236498255</v>
      </c>
      <c r="D19" s="647">
        <f t="shared" si="1"/>
        <v>13564.480236498255</v>
      </c>
      <c r="E19" s="647">
        <f t="shared" si="2"/>
        <v>13564.480236498255</v>
      </c>
      <c r="F19" s="647">
        <f t="shared" si="3"/>
        <v>13564.480236498255</v>
      </c>
      <c r="G19" s="647">
        <f t="shared" si="4"/>
        <v>13564.480236498255</v>
      </c>
      <c r="H19" s="647">
        <f t="shared" si="5"/>
        <v>13564.480236498255</v>
      </c>
      <c r="I19" s="647">
        <f t="shared" si="6"/>
        <v>13564.480236498255</v>
      </c>
      <c r="J19" s="647">
        <f t="shared" si="7"/>
        <v>13564.480236498255</v>
      </c>
      <c r="K19" s="647">
        <f t="shared" si="8"/>
        <v>13564.480236498255</v>
      </c>
      <c r="L19" s="647">
        <f t="shared" si="9"/>
        <v>13564.480236498255</v>
      </c>
      <c r="M19" s="647">
        <f t="shared" si="10"/>
        <v>13564.480236498255</v>
      </c>
      <c r="N19" s="647">
        <f t="shared" si="11"/>
        <v>13564.480236498255</v>
      </c>
      <c r="O19" s="648">
        <f t="shared" si="12"/>
        <v>162773.7628379791</v>
      </c>
      <c r="P19" s="649"/>
      <c r="Q19"/>
    </row>
    <row r="20" spans="1:17" s="640" customFormat="1" ht="12.75" customHeight="1" x14ac:dyDescent="0.25">
      <c r="A20" s="645" t="s">
        <v>162</v>
      </c>
      <c r="B20" s="646">
        <f>FGP!U24</f>
        <v>3.8393518392015826</v>
      </c>
      <c r="C20" s="647">
        <f t="shared" si="0"/>
        <v>8394.1925693038029</v>
      </c>
      <c r="D20" s="647">
        <f t="shared" si="1"/>
        <v>8394.1925693038029</v>
      </c>
      <c r="E20" s="647">
        <f t="shared" si="2"/>
        <v>8394.1925693038029</v>
      </c>
      <c r="F20" s="647">
        <f t="shared" si="3"/>
        <v>8394.1925693038029</v>
      </c>
      <c r="G20" s="647">
        <f t="shared" si="4"/>
        <v>8394.1925693038029</v>
      </c>
      <c r="H20" s="647">
        <f t="shared" si="5"/>
        <v>8394.1925693038029</v>
      </c>
      <c r="I20" s="647">
        <f t="shared" si="6"/>
        <v>8394.1925693038029</v>
      </c>
      <c r="J20" s="647">
        <f t="shared" si="7"/>
        <v>8394.1925693038029</v>
      </c>
      <c r="K20" s="647">
        <f t="shared" si="8"/>
        <v>8394.1925693038029</v>
      </c>
      <c r="L20" s="647">
        <f t="shared" si="9"/>
        <v>8394.1925693038029</v>
      </c>
      <c r="M20" s="647">
        <f t="shared" si="10"/>
        <v>8394.1925693038029</v>
      </c>
      <c r="N20" s="647">
        <f t="shared" si="11"/>
        <v>8394.1925693038029</v>
      </c>
      <c r="O20" s="648">
        <f t="shared" si="12"/>
        <v>100730.31083164566</v>
      </c>
      <c r="P20" s="649"/>
      <c r="Q20"/>
    </row>
    <row r="21" spans="1:17" s="640" customFormat="1" ht="12.75" customHeight="1" x14ac:dyDescent="0.25">
      <c r="A21" s="645" t="s">
        <v>163</v>
      </c>
      <c r="B21" s="646">
        <f>FGP!U25</f>
        <v>22.121676932241215</v>
      </c>
      <c r="C21" s="647">
        <f t="shared" si="0"/>
        <v>48365.876299520052</v>
      </c>
      <c r="D21" s="647">
        <f t="shared" si="1"/>
        <v>48365.876299520052</v>
      </c>
      <c r="E21" s="647">
        <f t="shared" si="2"/>
        <v>48365.876299520052</v>
      </c>
      <c r="F21" s="647">
        <f t="shared" si="3"/>
        <v>48365.876299520052</v>
      </c>
      <c r="G21" s="647">
        <f t="shared" si="4"/>
        <v>48365.876299520052</v>
      </c>
      <c r="H21" s="647">
        <f t="shared" si="5"/>
        <v>48365.876299520052</v>
      </c>
      <c r="I21" s="647">
        <f t="shared" si="6"/>
        <v>48365.876299520052</v>
      </c>
      <c r="J21" s="647">
        <f t="shared" si="7"/>
        <v>48365.876299520052</v>
      </c>
      <c r="K21" s="647">
        <f t="shared" si="8"/>
        <v>48365.876299520052</v>
      </c>
      <c r="L21" s="647">
        <f t="shared" si="9"/>
        <v>48365.876299520052</v>
      </c>
      <c r="M21" s="647">
        <f t="shared" si="10"/>
        <v>48365.876299520052</v>
      </c>
      <c r="N21" s="647">
        <f t="shared" si="11"/>
        <v>48365.876299520052</v>
      </c>
      <c r="O21" s="648">
        <f t="shared" si="12"/>
        <v>580390.51559424051</v>
      </c>
      <c r="P21" s="649"/>
      <c r="Q21"/>
    </row>
    <row r="22" spans="1:17" s="640" customFormat="1" ht="12.75" customHeight="1" x14ac:dyDescent="0.25">
      <c r="A22" s="645" t="s">
        <v>164</v>
      </c>
      <c r="B22" s="646">
        <f>FGP!U26</f>
        <v>3.78887364871294</v>
      </c>
      <c r="C22" s="647">
        <f t="shared" si="0"/>
        <v>8283.8292399560596</v>
      </c>
      <c r="D22" s="647">
        <f t="shared" si="1"/>
        <v>8283.8292399560596</v>
      </c>
      <c r="E22" s="647">
        <f t="shared" si="2"/>
        <v>8283.8292399560596</v>
      </c>
      <c r="F22" s="647">
        <f t="shared" si="3"/>
        <v>8283.8292399560596</v>
      </c>
      <c r="G22" s="647">
        <f t="shared" si="4"/>
        <v>8283.8292399560596</v>
      </c>
      <c r="H22" s="647">
        <f t="shared" si="5"/>
        <v>8283.8292399560596</v>
      </c>
      <c r="I22" s="647">
        <f t="shared" si="6"/>
        <v>8283.8292399560596</v>
      </c>
      <c r="J22" s="647">
        <f t="shared" si="7"/>
        <v>8283.8292399560596</v>
      </c>
      <c r="K22" s="647">
        <f t="shared" si="8"/>
        <v>8283.8292399560596</v>
      </c>
      <c r="L22" s="647">
        <f t="shared" si="9"/>
        <v>8283.8292399560596</v>
      </c>
      <c r="M22" s="647">
        <f t="shared" si="10"/>
        <v>8283.8292399560596</v>
      </c>
      <c r="N22" s="647">
        <f t="shared" si="11"/>
        <v>8283.8292399560596</v>
      </c>
      <c r="O22" s="648">
        <f t="shared" si="12"/>
        <v>99405.950879472715</v>
      </c>
      <c r="P22" s="649"/>
      <c r="Q22"/>
    </row>
    <row r="23" spans="1:17" s="640" customFormat="1" ht="12.75" customHeight="1" thickBot="1" x14ac:dyDescent="0.3">
      <c r="A23" s="645" t="s">
        <v>165</v>
      </c>
      <c r="B23" s="646">
        <f>FGP!U27</f>
        <v>4.8203192371739387</v>
      </c>
      <c r="C23" s="647">
        <f t="shared" si="0"/>
        <v>10538.937200080138</v>
      </c>
      <c r="D23" s="647">
        <f t="shared" si="1"/>
        <v>10538.937200080138</v>
      </c>
      <c r="E23" s="647">
        <f t="shared" si="2"/>
        <v>10538.937200080138</v>
      </c>
      <c r="F23" s="647">
        <f t="shared" si="3"/>
        <v>10538.937200080138</v>
      </c>
      <c r="G23" s="647">
        <f t="shared" si="4"/>
        <v>10538.937200080138</v>
      </c>
      <c r="H23" s="647">
        <f t="shared" si="5"/>
        <v>10538.937200080138</v>
      </c>
      <c r="I23" s="647">
        <f t="shared" si="6"/>
        <v>10538.937200080138</v>
      </c>
      <c r="J23" s="647">
        <f t="shared" si="7"/>
        <v>10538.937200080138</v>
      </c>
      <c r="K23" s="647">
        <f t="shared" si="8"/>
        <v>10538.937200080138</v>
      </c>
      <c r="L23" s="647">
        <f t="shared" si="9"/>
        <v>10538.937200080138</v>
      </c>
      <c r="M23" s="647">
        <f t="shared" si="10"/>
        <v>10538.937200080138</v>
      </c>
      <c r="N23" s="647">
        <f t="shared" si="11"/>
        <v>10538.937200080138</v>
      </c>
      <c r="O23" s="648">
        <f t="shared" si="12"/>
        <v>126467.24640096165</v>
      </c>
      <c r="P23" s="649"/>
      <c r="Q23"/>
    </row>
    <row r="24" spans="1:17" s="640" customFormat="1" ht="13.5" customHeight="1" thickBot="1" x14ac:dyDescent="0.3">
      <c r="A24" s="650" t="s">
        <v>288</v>
      </c>
      <c r="B24" s="679">
        <f>SUM(B4:B23)</f>
        <v>99.999999999999972</v>
      </c>
      <c r="C24" s="652">
        <f>'X22.55 POE'!B97</f>
        <v>218635.66874999995</v>
      </c>
      <c r="D24" s="652">
        <f>'X22.55 POE'!C97</f>
        <v>218635.66874999995</v>
      </c>
      <c r="E24" s="652">
        <f>'X22.55 POE'!D97</f>
        <v>218635.66874999995</v>
      </c>
      <c r="F24" s="652">
        <f>'X22.55 POE'!E97</f>
        <v>218635.66874999995</v>
      </c>
      <c r="G24" s="652">
        <f>'X22.55 POE'!F97</f>
        <v>218635.66874999995</v>
      </c>
      <c r="H24" s="652">
        <f>'X22.55 POE'!G97</f>
        <v>218635.66874999995</v>
      </c>
      <c r="I24" s="652">
        <f>'X22.55 POE'!H97</f>
        <v>218635.66874999995</v>
      </c>
      <c r="J24" s="652">
        <f>'X22.55 POE'!I97</f>
        <v>218635.66874999995</v>
      </c>
      <c r="K24" s="652">
        <f>'X22.55 POE'!J97</f>
        <v>218635.66874999995</v>
      </c>
      <c r="L24" s="652">
        <f>'X22.55 POE'!K97</f>
        <v>218635.66874999995</v>
      </c>
      <c r="M24" s="652">
        <f>'X22.55 POE'!L97</f>
        <v>218635.66874999995</v>
      </c>
      <c r="N24" s="652">
        <f>'X22.55 POE'!M97</f>
        <v>218635.66874999995</v>
      </c>
      <c r="O24" s="652">
        <f>SUM(C24:N24)</f>
        <v>2623628.0249999994</v>
      </c>
      <c r="Q24"/>
    </row>
    <row r="25" spans="1:17" s="640" customFormat="1" x14ac:dyDescent="0.25">
      <c r="A25" s="654" t="s">
        <v>289</v>
      </c>
      <c r="O25" s="649"/>
      <c r="Q25"/>
    </row>
    <row r="26" spans="1:17" s="640" customFormat="1" x14ac:dyDescent="0.25">
      <c r="Q26"/>
    </row>
    <row r="27" spans="1:17" s="640" customFormat="1" x14ac:dyDescent="0.25">
      <c r="A27"/>
      <c r="B27"/>
      <c r="C27"/>
      <c r="D27"/>
      <c r="E27"/>
      <c r="F27"/>
      <c r="G27"/>
      <c r="H27"/>
      <c r="I27"/>
      <c r="J27"/>
      <c r="K27"/>
      <c r="L27"/>
      <c r="M27"/>
      <c r="N27"/>
      <c r="O27" s="649"/>
      <c r="P27"/>
      <c r="Q27"/>
    </row>
    <row r="28" spans="1:17" s="640" customFormat="1" x14ac:dyDescent="0.25">
      <c r="A28"/>
      <c r="B28"/>
      <c r="C28"/>
      <c r="D28"/>
      <c r="E28"/>
      <c r="F28"/>
      <c r="G28"/>
      <c r="H28"/>
      <c r="I28"/>
      <c r="J28"/>
      <c r="K28"/>
      <c r="L28"/>
      <c r="M28"/>
      <c r="N28"/>
      <c r="P28"/>
      <c r="Q28"/>
    </row>
    <row r="29" spans="1:17" s="640" customFormat="1" x14ac:dyDescent="0.25">
      <c r="A29"/>
      <c r="B29"/>
      <c r="C29"/>
      <c r="D29"/>
      <c r="E29"/>
      <c r="F29"/>
      <c r="G29"/>
      <c r="H29"/>
      <c r="I29"/>
      <c r="J29"/>
      <c r="K29"/>
      <c r="L29"/>
      <c r="M29"/>
      <c r="N29"/>
      <c r="P29"/>
      <c r="Q29"/>
    </row>
    <row r="48" spans="3:14" x14ac:dyDescent="0.25">
      <c r="C48" s="213"/>
      <c r="D48" s="213"/>
      <c r="E48" s="213"/>
      <c r="F48" s="213"/>
      <c r="G48" s="213"/>
      <c r="H48" s="213"/>
      <c r="I48" s="213"/>
      <c r="J48" s="213"/>
      <c r="K48" s="213"/>
      <c r="L48" s="213"/>
      <c r="M48" s="213"/>
      <c r="N48" s="213"/>
    </row>
    <row r="49" spans="3:14" x14ac:dyDescent="0.25">
      <c r="C49" s="213"/>
      <c r="D49" s="213"/>
      <c r="E49" s="213"/>
      <c r="F49" s="213"/>
      <c r="G49" s="213"/>
      <c r="H49" s="213"/>
      <c r="I49" s="213"/>
      <c r="J49" s="213"/>
      <c r="K49" s="213"/>
      <c r="L49" s="213"/>
      <c r="M49" s="213"/>
      <c r="N49" s="213"/>
    </row>
    <row r="50" spans="3:14" x14ac:dyDescent="0.25">
      <c r="C50" s="213"/>
      <c r="D50" s="213"/>
      <c r="E50" s="213"/>
      <c r="F50" s="213"/>
      <c r="G50" s="213"/>
      <c r="H50" s="213"/>
      <c r="I50" s="213"/>
      <c r="J50" s="213"/>
      <c r="K50" s="213"/>
      <c r="L50" s="213"/>
      <c r="M50" s="213"/>
      <c r="N50" s="213"/>
    </row>
    <row r="51" spans="3:14" x14ac:dyDescent="0.25">
      <c r="C51" s="213"/>
      <c r="D51" s="213"/>
      <c r="E51" s="213"/>
      <c r="F51" s="213"/>
      <c r="G51" s="213"/>
      <c r="H51" s="213"/>
      <c r="I51" s="213"/>
      <c r="J51" s="213"/>
      <c r="K51" s="213"/>
      <c r="L51" s="213"/>
      <c r="M51" s="213"/>
      <c r="N51" s="213"/>
    </row>
    <row r="52" spans="3:14" x14ac:dyDescent="0.25">
      <c r="C52" s="213"/>
      <c r="D52" s="213"/>
      <c r="E52" s="213"/>
      <c r="F52" s="213"/>
      <c r="G52" s="213"/>
      <c r="H52" s="213"/>
      <c r="I52" s="213"/>
      <c r="J52" s="213"/>
      <c r="K52" s="213"/>
      <c r="L52" s="213"/>
      <c r="M52" s="213"/>
      <c r="N52" s="213"/>
    </row>
    <row r="53" spans="3:14" x14ac:dyDescent="0.25">
      <c r="C53" s="213"/>
      <c r="D53" s="213"/>
      <c r="E53" s="213"/>
      <c r="F53" s="213"/>
      <c r="G53" s="213"/>
      <c r="H53" s="213"/>
      <c r="I53" s="213"/>
      <c r="J53" s="213"/>
      <c r="K53" s="213"/>
      <c r="L53" s="213"/>
      <c r="M53" s="213"/>
      <c r="N53" s="213"/>
    </row>
    <row r="54" spans="3:14" x14ac:dyDescent="0.25">
      <c r="C54" s="213"/>
      <c r="D54" s="213"/>
      <c r="E54" s="213"/>
      <c r="F54" s="213"/>
      <c r="G54" s="213"/>
      <c r="H54" s="213"/>
      <c r="I54" s="213"/>
      <c r="J54" s="213"/>
      <c r="K54" s="213"/>
      <c r="L54" s="213"/>
      <c r="M54" s="213"/>
      <c r="N54" s="213"/>
    </row>
    <row r="55" spans="3:14" x14ac:dyDescent="0.25">
      <c r="C55" s="213"/>
      <c r="D55" s="213"/>
      <c r="E55" s="213"/>
      <c r="F55" s="213"/>
      <c r="G55" s="213"/>
      <c r="H55" s="213"/>
      <c r="I55" s="213"/>
      <c r="J55" s="213"/>
      <c r="K55" s="213"/>
      <c r="L55" s="213"/>
      <c r="M55" s="213"/>
      <c r="N55" s="213"/>
    </row>
    <row r="56" spans="3:14" x14ac:dyDescent="0.25">
      <c r="C56" s="213"/>
      <c r="D56" s="213"/>
      <c r="E56" s="213"/>
      <c r="F56" s="213"/>
      <c r="G56" s="213"/>
      <c r="H56" s="213"/>
      <c r="I56" s="213"/>
      <c r="J56" s="213"/>
      <c r="K56" s="213"/>
      <c r="L56" s="213"/>
      <c r="M56" s="213"/>
      <c r="N56" s="213"/>
    </row>
    <row r="57" spans="3:14" x14ac:dyDescent="0.25">
      <c r="C57" s="213"/>
      <c r="D57" s="213"/>
      <c r="E57" s="213"/>
      <c r="F57" s="213"/>
      <c r="G57" s="213"/>
      <c r="H57" s="213"/>
      <c r="I57" s="213"/>
      <c r="J57" s="213"/>
      <c r="K57" s="213"/>
      <c r="L57" s="213"/>
      <c r="M57" s="213"/>
      <c r="N57" s="213"/>
    </row>
    <row r="58" spans="3:14" x14ac:dyDescent="0.25">
      <c r="C58" s="213"/>
      <c r="D58" s="213"/>
      <c r="E58" s="213"/>
      <c r="F58" s="213"/>
      <c r="G58" s="213"/>
      <c r="H58" s="213"/>
      <c r="I58" s="213"/>
      <c r="J58" s="213"/>
      <c r="K58" s="213"/>
      <c r="L58" s="213"/>
      <c r="M58" s="213"/>
      <c r="N58" s="213"/>
    </row>
    <row r="59" spans="3:14" x14ac:dyDescent="0.25">
      <c r="C59" s="213"/>
      <c r="D59" s="213"/>
      <c r="E59" s="213"/>
      <c r="F59" s="213"/>
      <c r="G59" s="213"/>
      <c r="H59" s="213"/>
      <c r="I59" s="213"/>
      <c r="J59" s="213"/>
      <c r="K59" s="213"/>
      <c r="L59" s="213"/>
      <c r="M59" s="213"/>
      <c r="N59" s="213"/>
    </row>
    <row r="60" spans="3:14" x14ac:dyDescent="0.25">
      <c r="C60" s="213"/>
      <c r="D60" s="213"/>
      <c r="E60" s="213"/>
      <c r="F60" s="213"/>
      <c r="G60" s="213"/>
      <c r="H60" s="213"/>
      <c r="I60" s="213"/>
      <c r="J60" s="213"/>
      <c r="K60" s="213"/>
      <c r="L60" s="213"/>
      <c r="M60" s="213"/>
      <c r="N60" s="213"/>
    </row>
    <row r="61" spans="3:14" x14ac:dyDescent="0.25">
      <c r="C61" s="213"/>
      <c r="D61" s="213"/>
      <c r="E61" s="213"/>
      <c r="F61" s="213"/>
      <c r="G61" s="213"/>
      <c r="H61" s="213"/>
      <c r="I61" s="213"/>
      <c r="J61" s="213"/>
      <c r="K61" s="213"/>
      <c r="L61" s="213"/>
      <c r="M61" s="213"/>
      <c r="N61" s="213"/>
    </row>
    <row r="62" spans="3:14" x14ac:dyDescent="0.25">
      <c r="C62" s="213"/>
      <c r="D62" s="213"/>
      <c r="E62" s="213"/>
      <c r="F62" s="213"/>
      <c r="G62" s="213"/>
      <c r="H62" s="213"/>
      <c r="I62" s="213"/>
      <c r="J62" s="213"/>
      <c r="K62" s="213"/>
      <c r="L62" s="213"/>
      <c r="M62" s="213"/>
      <c r="N62" s="213"/>
    </row>
    <row r="63" spans="3:14" x14ac:dyDescent="0.25">
      <c r="C63" s="213"/>
      <c r="D63" s="213"/>
      <c r="E63" s="213"/>
      <c r="F63" s="213"/>
      <c r="G63" s="213"/>
      <c r="H63" s="213"/>
      <c r="I63" s="213"/>
      <c r="J63" s="213"/>
      <c r="K63" s="213"/>
      <c r="L63" s="213"/>
      <c r="M63" s="213"/>
      <c r="N63" s="213"/>
    </row>
    <row r="64" spans="3:14" x14ac:dyDescent="0.25">
      <c r="C64" s="213"/>
      <c r="D64" s="213"/>
      <c r="E64" s="213"/>
      <c r="F64" s="213"/>
      <c r="G64" s="213"/>
      <c r="H64" s="213"/>
      <c r="I64" s="213"/>
      <c r="J64" s="213"/>
      <c r="K64" s="213"/>
      <c r="L64" s="213"/>
      <c r="M64" s="213"/>
      <c r="N64" s="213"/>
    </row>
    <row r="65" spans="3:14" x14ac:dyDescent="0.25">
      <c r="C65" s="213"/>
      <c r="D65" s="213"/>
      <c r="E65" s="213"/>
      <c r="F65" s="213"/>
      <c r="G65" s="213"/>
      <c r="H65" s="213"/>
      <c r="I65" s="213"/>
      <c r="J65" s="213"/>
      <c r="K65" s="213"/>
      <c r="L65" s="213"/>
      <c r="M65" s="213"/>
      <c r="N65" s="213"/>
    </row>
    <row r="66" spans="3:14" x14ac:dyDescent="0.25">
      <c r="C66" s="213"/>
      <c r="D66" s="213"/>
      <c r="E66" s="213"/>
      <c r="F66" s="213"/>
      <c r="G66" s="213"/>
      <c r="H66" s="213"/>
      <c r="I66" s="213"/>
      <c r="J66" s="213"/>
      <c r="K66" s="213"/>
      <c r="L66" s="213"/>
      <c r="M66" s="213"/>
      <c r="N66" s="213"/>
    </row>
    <row r="67" spans="3:14" x14ac:dyDescent="0.25">
      <c r="C67" s="213"/>
      <c r="D67" s="213"/>
      <c r="E67" s="213"/>
      <c r="F67" s="213"/>
      <c r="G67" s="213"/>
      <c r="H67" s="213"/>
      <c r="I67" s="213"/>
      <c r="J67" s="213"/>
      <c r="K67" s="213"/>
      <c r="L67" s="213"/>
      <c r="M67" s="213"/>
      <c r="N67" s="213"/>
    </row>
    <row r="68" spans="3:14" x14ac:dyDescent="0.25">
      <c r="C68" s="213"/>
      <c r="D68" s="213"/>
      <c r="E68" s="213"/>
      <c r="F68" s="213"/>
      <c r="G68" s="213"/>
      <c r="H68" s="213"/>
      <c r="I68" s="213"/>
      <c r="J68" s="213"/>
      <c r="K68" s="213"/>
      <c r="L68" s="213"/>
      <c r="M68" s="213"/>
      <c r="N68" s="213"/>
    </row>
    <row r="69" spans="3:14" x14ac:dyDescent="0.25">
      <c r="C69" s="213"/>
      <c r="D69" s="213"/>
      <c r="E69" s="213"/>
      <c r="F69" s="213"/>
      <c r="G69" s="213"/>
      <c r="H69" s="213"/>
      <c r="I69" s="213"/>
      <c r="J69" s="213"/>
      <c r="K69" s="213"/>
      <c r="L69" s="213"/>
      <c r="M69" s="213"/>
      <c r="N69" s="213"/>
    </row>
    <row r="70" spans="3:14" x14ac:dyDescent="0.25">
      <c r="C70" s="213"/>
      <c r="D70" s="213"/>
      <c r="E70" s="213"/>
      <c r="F70" s="213"/>
      <c r="G70" s="213"/>
      <c r="H70" s="213"/>
      <c r="I70" s="213"/>
      <c r="J70" s="213"/>
      <c r="K70" s="213"/>
      <c r="L70" s="213"/>
      <c r="M70" s="213"/>
      <c r="N70" s="213"/>
    </row>
    <row r="71" spans="3:14" x14ac:dyDescent="0.25">
      <c r="C71" s="213"/>
      <c r="D71" s="213"/>
      <c r="E71" s="213"/>
      <c r="F71" s="213"/>
      <c r="G71" s="213"/>
      <c r="H71" s="213"/>
      <c r="I71" s="213"/>
      <c r="J71" s="213"/>
      <c r="K71" s="213"/>
      <c r="L71" s="213"/>
      <c r="M71" s="213"/>
      <c r="N71" s="213"/>
    </row>
    <row r="72" spans="3:14" x14ac:dyDescent="0.25">
      <c r="C72" s="213"/>
      <c r="D72" s="213"/>
      <c r="E72" s="213"/>
      <c r="F72" s="213"/>
      <c r="G72" s="213"/>
      <c r="H72" s="213"/>
      <c r="I72" s="213"/>
      <c r="J72" s="213"/>
      <c r="K72" s="213"/>
      <c r="L72" s="213"/>
      <c r="M72" s="213"/>
      <c r="N72" s="213"/>
    </row>
    <row r="73" spans="3:14" x14ac:dyDescent="0.25">
      <c r="C73" s="213"/>
      <c r="D73" s="213"/>
      <c r="E73" s="213"/>
      <c r="F73" s="213"/>
      <c r="G73" s="213"/>
      <c r="H73" s="213"/>
      <c r="I73" s="213"/>
      <c r="J73" s="213"/>
      <c r="K73" s="213"/>
      <c r="L73" s="213"/>
      <c r="M73" s="213"/>
      <c r="N73" s="213"/>
    </row>
    <row r="74" spans="3:14" x14ac:dyDescent="0.25">
      <c r="C74" s="213"/>
      <c r="D74" s="213"/>
      <c r="E74" s="213"/>
      <c r="F74" s="213"/>
      <c r="G74" s="213"/>
      <c r="H74" s="213"/>
      <c r="I74" s="213"/>
      <c r="J74" s="213"/>
      <c r="K74" s="213"/>
      <c r="L74" s="213"/>
      <c r="M74" s="213"/>
      <c r="N74" s="213"/>
    </row>
    <row r="75" spans="3:14" x14ac:dyDescent="0.25">
      <c r="C75" s="213"/>
      <c r="D75" s="213"/>
      <c r="E75" s="213"/>
      <c r="F75" s="213"/>
      <c r="G75" s="213"/>
      <c r="H75" s="213"/>
      <c r="I75" s="213"/>
      <c r="J75" s="213"/>
      <c r="K75" s="213"/>
      <c r="L75" s="213"/>
      <c r="M75" s="213"/>
      <c r="N75" s="213"/>
    </row>
    <row r="76" spans="3:14" x14ac:dyDescent="0.25">
      <c r="C76" s="213"/>
      <c r="D76" s="213"/>
      <c r="E76" s="213"/>
      <c r="F76" s="213"/>
      <c r="G76" s="213"/>
      <c r="H76" s="213"/>
      <c r="I76" s="213"/>
      <c r="J76" s="213"/>
      <c r="K76" s="213"/>
      <c r="L76" s="213"/>
      <c r="M76" s="213"/>
      <c r="N76" s="213"/>
    </row>
  </sheetData>
  <mergeCells count="1">
    <mergeCell ref="A1:O1"/>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pageSetUpPr fitToPage="1"/>
  </sheetPr>
  <dimension ref="A1:T31"/>
  <sheetViews>
    <sheetView workbookViewId="0">
      <selection sqref="A1:O1"/>
    </sheetView>
  </sheetViews>
  <sheetFormatPr baseColWidth="10" defaultRowHeight="12.75" x14ac:dyDescent="0.2"/>
  <cols>
    <col min="1" max="1" width="16.42578125" style="640" bestFit="1" customWidth="1"/>
    <col min="2" max="2" width="9.140625" style="640" hidden="1" customWidth="1"/>
    <col min="3" max="15" width="9.7109375" style="640" customWidth="1"/>
    <col min="16" max="16" width="12.7109375" style="640" bestFit="1" customWidth="1"/>
    <col min="17" max="19" width="11.42578125" style="640"/>
    <col min="20" max="20" width="11.7109375" style="640" bestFit="1" customWidth="1"/>
    <col min="21" max="16384" width="11.42578125" style="640"/>
  </cols>
  <sheetData>
    <row r="1" spans="1:17" x14ac:dyDescent="0.2">
      <c r="A1" s="1237" t="s">
        <v>513</v>
      </c>
      <c r="B1" s="1237"/>
      <c r="C1" s="1237"/>
      <c r="D1" s="1237"/>
      <c r="E1" s="1237"/>
      <c r="F1" s="1237"/>
      <c r="G1" s="1237"/>
      <c r="H1" s="1237"/>
      <c r="I1" s="1237"/>
      <c r="J1" s="1237"/>
      <c r="K1" s="1237"/>
      <c r="L1" s="1237"/>
      <c r="M1" s="1237"/>
      <c r="N1" s="1237"/>
      <c r="O1" s="1237"/>
    </row>
    <row r="2" spans="1:17" ht="13.5" thickBot="1" x14ac:dyDescent="0.25"/>
    <row r="3" spans="1:17" ht="23.25" thickBot="1" x14ac:dyDescent="0.25">
      <c r="A3" s="667" t="s">
        <v>351</v>
      </c>
      <c r="B3" s="668" t="s">
        <v>281</v>
      </c>
      <c r="C3" s="667" t="s">
        <v>1</v>
      </c>
      <c r="D3" s="669" t="s">
        <v>2</v>
      </c>
      <c r="E3" s="667" t="s">
        <v>3</v>
      </c>
      <c r="F3" s="669" t="s">
        <v>4</v>
      </c>
      <c r="G3" s="667" t="s">
        <v>5</v>
      </c>
      <c r="H3" s="667" t="s">
        <v>6</v>
      </c>
      <c r="I3" s="667" t="s">
        <v>7</v>
      </c>
      <c r="J3" s="669" t="s">
        <v>8</v>
      </c>
      <c r="K3" s="667" t="s">
        <v>9</v>
      </c>
      <c r="L3" s="669" t="s">
        <v>10</v>
      </c>
      <c r="M3" s="667" t="s">
        <v>11</v>
      </c>
      <c r="N3" s="667" t="s">
        <v>12</v>
      </c>
      <c r="O3" s="670" t="s">
        <v>168</v>
      </c>
    </row>
    <row r="4" spans="1:17" x14ac:dyDescent="0.2">
      <c r="A4" s="645" t="s">
        <v>282</v>
      </c>
      <c r="B4" s="889">
        <f>ISR!Q7</f>
        <v>4.5425308276994523</v>
      </c>
      <c r="C4" s="647">
        <f>$C$24*B4/100</f>
        <v>893603.54139128211</v>
      </c>
      <c r="D4" s="647">
        <f>$D$24*B4/100</f>
        <v>829668.00618192146</v>
      </c>
      <c r="E4" s="647">
        <f>$E$24*B4/100</f>
        <v>679857.79662014451</v>
      </c>
      <c r="F4" s="647">
        <f>$F$24*B4/100</f>
        <v>659086.36445199477</v>
      </c>
      <c r="G4" s="647">
        <f>$G$24*B4/100</f>
        <v>591960.09525649552</v>
      </c>
      <c r="H4" s="647">
        <f>$H$24*B4/100</f>
        <v>524717.57942620304</v>
      </c>
      <c r="I4" s="647">
        <f>$I$24*B4/100</f>
        <v>637685.54955489619</v>
      </c>
      <c r="J4" s="647">
        <f>$J$24*B4/100</f>
        <v>746543.05566274747</v>
      </c>
      <c r="K4" s="647">
        <f>$K$24*B4/100</f>
        <v>753102.91209169594</v>
      </c>
      <c r="L4" s="647">
        <f>$L$24*B4/100</f>
        <v>561611.47942720831</v>
      </c>
      <c r="M4" s="647">
        <f>$M$24*B4/100</f>
        <v>799185.31937193323</v>
      </c>
      <c r="N4" s="647">
        <f>$N$24*B4/100</f>
        <v>632932.5701667486</v>
      </c>
      <c r="O4" s="648">
        <f>SUM(C4:N4)</f>
        <v>8309954.269603271</v>
      </c>
      <c r="P4" s="649"/>
      <c r="Q4" s="649"/>
    </row>
    <row r="5" spans="1:17" x14ac:dyDescent="0.2">
      <c r="A5" s="645" t="s">
        <v>147</v>
      </c>
      <c r="B5" s="889">
        <f>ISR!Q8</f>
        <v>7.1560258851053993E-2</v>
      </c>
      <c r="C5" s="647">
        <f t="shared" ref="C5:C23" si="0">$C$24*B5/100</f>
        <v>14077.284922811225</v>
      </c>
      <c r="D5" s="647">
        <f t="shared" ref="D5:D23" si="1">$D$24*B5/100</f>
        <v>13070.083513970232</v>
      </c>
      <c r="E5" s="647">
        <f t="shared" ref="E5:E23" si="2">$E$24*B5/100</f>
        <v>10710.064885279771</v>
      </c>
      <c r="F5" s="647">
        <f t="shared" ref="F5:F23" si="3">$F$24*B5/100</f>
        <v>10382.844417430424</v>
      </c>
      <c r="G5" s="647">
        <f t="shared" ref="G5:G23" si="4">$G$24*B5/100</f>
        <v>9325.378132326925</v>
      </c>
      <c r="H5" s="647">
        <f t="shared" ref="H5:H23" si="5">$H$24*B5/100</f>
        <v>8266.0805686714702</v>
      </c>
      <c r="I5" s="647">
        <f t="shared" ref="I5:I23" si="6">$I$24*B5/100</f>
        <v>10045.709038112489</v>
      </c>
      <c r="J5" s="647">
        <f t="shared" ref="J5:J23" si="7">$J$24*B5/100</f>
        <v>11760.583765534684</v>
      </c>
      <c r="K5" s="647">
        <f t="shared" ref="K5:K23" si="8">$K$24*B5/100</f>
        <v>11863.923740955181</v>
      </c>
      <c r="L5" s="647">
        <f t="shared" ref="L5:L23" si="9">$L$24*B5/100</f>
        <v>8847.284556985167</v>
      </c>
      <c r="M5" s="647">
        <f t="shared" ref="M5:M23" si="10">$M$24*B5/100</f>
        <v>12589.877866207329</v>
      </c>
      <c r="N5" s="647">
        <f t="shared" ref="N5:N23" si="11">$N$24*B5/100</f>
        <v>9970.8335010538176</v>
      </c>
      <c r="O5" s="648">
        <f t="shared" ref="O5:O23" si="12">SUM(C5:N5)</f>
        <v>130909.94890933872</v>
      </c>
      <c r="P5" s="649"/>
      <c r="Q5" s="649"/>
    </row>
    <row r="6" spans="1:17" x14ac:dyDescent="0.2">
      <c r="A6" s="645" t="s">
        <v>148</v>
      </c>
      <c r="B6" s="889">
        <f>ISR!Q9</f>
        <v>1.6669745401552263</v>
      </c>
      <c r="C6" s="647">
        <f t="shared" si="0"/>
        <v>327926.08547826274</v>
      </c>
      <c r="D6" s="647">
        <f t="shared" si="1"/>
        <v>304463.63394016749</v>
      </c>
      <c r="E6" s="647">
        <f t="shared" si="2"/>
        <v>249487.71530203772</v>
      </c>
      <c r="F6" s="647">
        <f t="shared" si="3"/>
        <v>241865.21368339646</v>
      </c>
      <c r="G6" s="647">
        <f t="shared" si="4"/>
        <v>217231.85708795569</v>
      </c>
      <c r="H6" s="647">
        <f t="shared" si="5"/>
        <v>192555.84141370424</v>
      </c>
      <c r="I6" s="647">
        <f t="shared" si="6"/>
        <v>234011.74720728557</v>
      </c>
      <c r="J6" s="647">
        <f t="shared" si="7"/>
        <v>273959.23420727608</v>
      </c>
      <c r="K6" s="647">
        <f t="shared" si="8"/>
        <v>276366.50761254405</v>
      </c>
      <c r="L6" s="647">
        <f t="shared" si="9"/>
        <v>206094.81215963434</v>
      </c>
      <c r="M6" s="647">
        <f t="shared" si="10"/>
        <v>293277.38892496075</v>
      </c>
      <c r="N6" s="647">
        <f t="shared" si="11"/>
        <v>232267.54426613849</v>
      </c>
      <c r="O6" s="648">
        <f t="shared" si="12"/>
        <v>3049507.581283364</v>
      </c>
      <c r="P6" s="649"/>
      <c r="Q6" s="649"/>
    </row>
    <row r="7" spans="1:17" x14ac:dyDescent="0.2">
      <c r="A7" s="645" t="s">
        <v>283</v>
      </c>
      <c r="B7" s="889">
        <f>ISR!Q10</f>
        <v>15.471570707791113</v>
      </c>
      <c r="C7" s="647">
        <f t="shared" si="0"/>
        <v>3043556.7527825916</v>
      </c>
      <c r="D7" s="647">
        <f t="shared" si="1"/>
        <v>2825796.3915979741</v>
      </c>
      <c r="E7" s="647">
        <f t="shared" si="2"/>
        <v>2315552.3585029081</v>
      </c>
      <c r="F7" s="647">
        <f t="shared" si="3"/>
        <v>2244806.1833681171</v>
      </c>
      <c r="G7" s="647">
        <f t="shared" si="4"/>
        <v>2016178.3854288</v>
      </c>
      <c r="H7" s="647">
        <f t="shared" si="5"/>
        <v>1787154.6588545518</v>
      </c>
      <c r="I7" s="647">
        <f t="shared" si="6"/>
        <v>2171916.370740803</v>
      </c>
      <c r="J7" s="647">
        <f t="shared" si="7"/>
        <v>2542678.1039472185</v>
      </c>
      <c r="K7" s="647">
        <f t="shared" si="8"/>
        <v>2565020.5571793597</v>
      </c>
      <c r="L7" s="647">
        <f t="shared" si="9"/>
        <v>1912812.9326677006</v>
      </c>
      <c r="M7" s="647">
        <f t="shared" si="10"/>
        <v>2721974.3016149257</v>
      </c>
      <c r="N7" s="647">
        <f t="shared" si="11"/>
        <v>2155728.0256385547</v>
      </c>
      <c r="O7" s="648">
        <f t="shared" si="12"/>
        <v>28303175.022323508</v>
      </c>
      <c r="P7" s="649"/>
      <c r="Q7" s="649"/>
    </row>
    <row r="8" spans="1:17" x14ac:dyDescent="0.2">
      <c r="A8" s="645" t="s">
        <v>150</v>
      </c>
      <c r="B8" s="889">
        <f>ISR!Q11</f>
        <v>7.7285922215594747</v>
      </c>
      <c r="C8" s="647">
        <f t="shared" si="0"/>
        <v>1520363.3483434895</v>
      </c>
      <c r="D8" s="647">
        <f t="shared" si="1"/>
        <v>1411584.4101605744</v>
      </c>
      <c r="E8" s="647">
        <f t="shared" si="2"/>
        <v>1156699.6192265919</v>
      </c>
      <c r="F8" s="647">
        <f t="shared" si="3"/>
        <v>1121359.4233810278</v>
      </c>
      <c r="G8" s="647">
        <f t="shared" si="4"/>
        <v>1007151.8193724527</v>
      </c>
      <c r="H8" s="647">
        <f t="shared" si="5"/>
        <v>892746.43512384803</v>
      </c>
      <c r="I8" s="647">
        <f t="shared" si="6"/>
        <v>1084948.4054215709</v>
      </c>
      <c r="J8" s="647">
        <f t="shared" si="7"/>
        <v>1270156.8953306163</v>
      </c>
      <c r="K8" s="647">
        <f t="shared" si="8"/>
        <v>1281317.7343638199</v>
      </c>
      <c r="L8" s="647">
        <f t="shared" si="9"/>
        <v>955517.15025736962</v>
      </c>
      <c r="M8" s="647">
        <f t="shared" si="10"/>
        <v>1359721.6347369405</v>
      </c>
      <c r="N8" s="647">
        <f t="shared" si="11"/>
        <v>1076861.7592496893</v>
      </c>
      <c r="O8" s="648">
        <f t="shared" si="12"/>
        <v>14138428.63496799</v>
      </c>
      <c r="P8" s="649"/>
      <c r="Q8" s="649"/>
    </row>
    <row r="9" spans="1:17" x14ac:dyDescent="0.2">
      <c r="A9" s="645" t="s">
        <v>284</v>
      </c>
      <c r="B9" s="889">
        <f>ISR!Q12</f>
        <v>1.9618254548617666</v>
      </c>
      <c r="C9" s="647">
        <f t="shared" si="0"/>
        <v>385928.95470648579</v>
      </c>
      <c r="D9" s="647">
        <f t="shared" si="1"/>
        <v>358316.51459290751</v>
      </c>
      <c r="E9" s="647">
        <f t="shared" si="2"/>
        <v>293616.57227786217</v>
      </c>
      <c r="F9" s="647">
        <f t="shared" si="3"/>
        <v>284645.81876906363</v>
      </c>
      <c r="G9" s="647">
        <f t="shared" si="4"/>
        <v>255655.36639951356</v>
      </c>
      <c r="H9" s="647">
        <f t="shared" si="5"/>
        <v>226614.70950393393</v>
      </c>
      <c r="I9" s="647">
        <f t="shared" si="6"/>
        <v>275403.24782955588</v>
      </c>
      <c r="J9" s="647">
        <f t="shared" si="7"/>
        <v>322416.56145043648</v>
      </c>
      <c r="K9" s="647">
        <f t="shared" si="8"/>
        <v>325249.62826069904</v>
      </c>
      <c r="L9" s="647">
        <f t="shared" si="9"/>
        <v>242548.42462805405</v>
      </c>
      <c r="M9" s="647">
        <f t="shared" si="10"/>
        <v>345151.67032773374</v>
      </c>
      <c r="N9" s="647">
        <f t="shared" si="11"/>
        <v>273350.53397822828</v>
      </c>
      <c r="O9" s="648">
        <f t="shared" si="12"/>
        <v>3588898.0027244743</v>
      </c>
      <c r="P9" s="649"/>
      <c r="Q9" s="649"/>
    </row>
    <row r="10" spans="1:17" x14ac:dyDescent="0.2">
      <c r="A10" s="645" t="s">
        <v>152</v>
      </c>
      <c r="B10" s="889">
        <f>ISR!Q13</f>
        <v>1.0419092281200826</v>
      </c>
      <c r="C10" s="647">
        <f t="shared" si="0"/>
        <v>204963.6670331397</v>
      </c>
      <c r="D10" s="647">
        <f t="shared" si="1"/>
        <v>190298.92910043837</v>
      </c>
      <c r="E10" s="647">
        <f t="shared" si="2"/>
        <v>155937.32634427847</v>
      </c>
      <c r="F10" s="647">
        <f t="shared" si="3"/>
        <v>151173.03355724944</v>
      </c>
      <c r="G10" s="647">
        <f t="shared" si="4"/>
        <v>135776.44474433782</v>
      </c>
      <c r="H10" s="647">
        <f t="shared" si="5"/>
        <v>120353.19272403741</v>
      </c>
      <c r="I10" s="647">
        <f t="shared" si="6"/>
        <v>146264.38078716592</v>
      </c>
      <c r="J10" s="647">
        <f t="shared" si="7"/>
        <v>171232.76173293692</v>
      </c>
      <c r="K10" s="647">
        <f t="shared" si="8"/>
        <v>172737.38001902253</v>
      </c>
      <c r="L10" s="647">
        <f t="shared" si="9"/>
        <v>128815.45667566253</v>
      </c>
      <c r="M10" s="647">
        <f t="shared" si="10"/>
        <v>183307.18949758224</v>
      </c>
      <c r="N10" s="647">
        <f t="shared" si="11"/>
        <v>145174.20148549156</v>
      </c>
      <c r="O10" s="648">
        <f t="shared" si="12"/>
        <v>1906033.9637013427</v>
      </c>
      <c r="P10" s="649"/>
      <c r="Q10" s="649"/>
    </row>
    <row r="11" spans="1:17" x14ac:dyDescent="0.2">
      <c r="A11" s="645" t="s">
        <v>153</v>
      </c>
      <c r="B11" s="889">
        <f>ISR!Q14</f>
        <v>3.4748875612937713</v>
      </c>
      <c r="C11" s="647">
        <f t="shared" si="0"/>
        <v>683577.49203899887</v>
      </c>
      <c r="D11" s="647">
        <f t="shared" si="1"/>
        <v>634668.89803036267</v>
      </c>
      <c r="E11" s="647">
        <f t="shared" si="2"/>
        <v>520068.9858874054</v>
      </c>
      <c r="F11" s="647">
        <f t="shared" si="3"/>
        <v>504179.5194183545</v>
      </c>
      <c r="G11" s="647">
        <f t="shared" si="4"/>
        <v>452830.11823407473</v>
      </c>
      <c r="H11" s="647">
        <f t="shared" si="5"/>
        <v>401391.79217496043</v>
      </c>
      <c r="I11" s="647">
        <f t="shared" si="6"/>
        <v>487808.59573985956</v>
      </c>
      <c r="J11" s="647">
        <f t="shared" si="7"/>
        <v>571081.02872392035</v>
      </c>
      <c r="K11" s="647">
        <f t="shared" si="8"/>
        <v>576099.10441199888</v>
      </c>
      <c r="L11" s="647">
        <f t="shared" si="9"/>
        <v>429614.41939839238</v>
      </c>
      <c r="M11" s="647">
        <f t="shared" si="10"/>
        <v>611350.63927800837</v>
      </c>
      <c r="N11" s="647">
        <f t="shared" si="11"/>
        <v>484172.72191061697</v>
      </c>
      <c r="O11" s="648">
        <f t="shared" si="12"/>
        <v>6356843.3152469536</v>
      </c>
      <c r="P11" s="649"/>
      <c r="Q11" s="649"/>
    </row>
    <row r="12" spans="1:17" x14ac:dyDescent="0.2">
      <c r="A12" s="645" t="s">
        <v>154</v>
      </c>
      <c r="B12" s="889">
        <f>ISR!Q15</f>
        <v>1.4675970947452466</v>
      </c>
      <c r="C12" s="647">
        <f t="shared" si="0"/>
        <v>288704.69149112812</v>
      </c>
      <c r="D12" s="647">
        <f t="shared" si="1"/>
        <v>268048.45176853263</v>
      </c>
      <c r="E12" s="647">
        <f t="shared" si="2"/>
        <v>219647.8934332162</v>
      </c>
      <c r="F12" s="647">
        <f t="shared" si="3"/>
        <v>212937.0763446918</v>
      </c>
      <c r="G12" s="647">
        <f t="shared" si="4"/>
        <v>191249.97693048831</v>
      </c>
      <c r="H12" s="647">
        <f t="shared" si="5"/>
        <v>169525.32064986666</v>
      </c>
      <c r="I12" s="647">
        <f t="shared" si="6"/>
        <v>206022.91880576126</v>
      </c>
      <c r="J12" s="647">
        <f t="shared" si="7"/>
        <v>241192.51165275238</v>
      </c>
      <c r="K12" s="647">
        <f t="shared" si="8"/>
        <v>243311.86463069273</v>
      </c>
      <c r="L12" s="647">
        <f t="shared" si="9"/>
        <v>181444.97128275374</v>
      </c>
      <c r="M12" s="647">
        <f t="shared" si="10"/>
        <v>258200.13057947761</v>
      </c>
      <c r="N12" s="647">
        <f t="shared" si="11"/>
        <v>204487.33016453628</v>
      </c>
      <c r="O12" s="648">
        <f t="shared" si="12"/>
        <v>2684773.1377338977</v>
      </c>
      <c r="P12" s="649"/>
      <c r="Q12" s="649"/>
    </row>
    <row r="13" spans="1:17" x14ac:dyDescent="0.2">
      <c r="A13" s="645" t="s">
        <v>155</v>
      </c>
      <c r="B13" s="889">
        <f>ISR!Q16</f>
        <v>1.5845405635451817</v>
      </c>
      <c r="C13" s="647">
        <f t="shared" si="0"/>
        <v>311709.73027368868</v>
      </c>
      <c r="D13" s="647">
        <f t="shared" si="1"/>
        <v>289407.52631869423</v>
      </c>
      <c r="E13" s="647">
        <f t="shared" si="2"/>
        <v>237150.23563915904</v>
      </c>
      <c r="F13" s="647">
        <f t="shared" si="3"/>
        <v>229904.6762622887</v>
      </c>
      <c r="G13" s="647">
        <f t="shared" si="4"/>
        <v>206489.46996998711</v>
      </c>
      <c r="H13" s="647">
        <f t="shared" si="5"/>
        <v>183033.71414369403</v>
      </c>
      <c r="I13" s="647">
        <f t="shared" si="6"/>
        <v>222439.57352911725</v>
      </c>
      <c r="J13" s="647">
        <f t="shared" si="7"/>
        <v>260411.60731751844</v>
      </c>
      <c r="K13" s="647">
        <f t="shared" si="8"/>
        <v>262699.8380410875</v>
      </c>
      <c r="L13" s="647">
        <f t="shared" si="9"/>
        <v>195903.16584724563</v>
      </c>
      <c r="M13" s="647">
        <f t="shared" si="10"/>
        <v>278774.45511491946</v>
      </c>
      <c r="N13" s="647">
        <f t="shared" si="11"/>
        <v>220781.62360563193</v>
      </c>
      <c r="O13" s="648">
        <f t="shared" si="12"/>
        <v>2898705.6160630318</v>
      </c>
      <c r="P13" s="649"/>
      <c r="Q13" s="649"/>
    </row>
    <row r="14" spans="1:17" x14ac:dyDescent="0.2">
      <c r="A14" s="645" t="s">
        <v>156</v>
      </c>
      <c r="B14" s="889">
        <f>ISR!Q17</f>
        <v>0.12294406977660646</v>
      </c>
      <c r="C14" s="647">
        <f t="shared" si="0"/>
        <v>24185.472881220325</v>
      </c>
      <c r="D14" s="647">
        <f t="shared" si="1"/>
        <v>22455.050964421753</v>
      </c>
      <c r="E14" s="647">
        <f t="shared" si="2"/>
        <v>18400.42204582418</v>
      </c>
      <c r="F14" s="647">
        <f t="shared" si="3"/>
        <v>17838.241071670098</v>
      </c>
      <c r="G14" s="647">
        <f t="shared" si="4"/>
        <v>16021.46160734793</v>
      </c>
      <c r="H14" s="647">
        <f t="shared" si="5"/>
        <v>14201.5359157526</v>
      </c>
      <c r="I14" s="647">
        <f t="shared" si="6"/>
        <v>17259.025788431692</v>
      </c>
      <c r="J14" s="647">
        <f t="shared" si="7"/>
        <v>20205.265524444443</v>
      </c>
      <c r="K14" s="647">
        <f t="shared" si="8"/>
        <v>20382.808721643527</v>
      </c>
      <c r="L14" s="647">
        <f t="shared" si="9"/>
        <v>15200.073160320273</v>
      </c>
      <c r="M14" s="647">
        <f t="shared" si="10"/>
        <v>21630.033872343229</v>
      </c>
      <c r="N14" s="647">
        <f t="shared" si="11"/>
        <v>17130.38590645666</v>
      </c>
      <c r="O14" s="648">
        <f t="shared" si="12"/>
        <v>224909.77745987667</v>
      </c>
      <c r="P14" s="649"/>
      <c r="Q14" s="649"/>
    </row>
    <row r="15" spans="1:17" x14ac:dyDescent="0.2">
      <c r="A15" s="645" t="s">
        <v>157</v>
      </c>
      <c r="B15" s="889">
        <f>ISR!Q18</f>
        <v>2.6564064750825946</v>
      </c>
      <c r="C15" s="647">
        <f t="shared" si="0"/>
        <v>522566.45547317684</v>
      </c>
      <c r="D15" s="647">
        <f t="shared" si="1"/>
        <v>485177.87713213987</v>
      </c>
      <c r="E15" s="647">
        <f t="shared" si="2"/>
        <v>397571.02848144429</v>
      </c>
      <c r="F15" s="647">
        <f t="shared" si="3"/>
        <v>385424.1947006472</v>
      </c>
      <c r="G15" s="647">
        <f t="shared" si="4"/>
        <v>346169.72116978327</v>
      </c>
      <c r="H15" s="647">
        <f t="shared" si="5"/>
        <v>306847.26828443963</v>
      </c>
      <c r="I15" s="647">
        <f t="shared" si="6"/>
        <v>372909.30698254058</v>
      </c>
      <c r="J15" s="647">
        <f t="shared" si="7"/>
        <v>436567.60563908221</v>
      </c>
      <c r="K15" s="647">
        <f t="shared" si="8"/>
        <v>440403.71501388552</v>
      </c>
      <c r="L15" s="647">
        <f t="shared" si="9"/>
        <v>328422.28859164455</v>
      </c>
      <c r="M15" s="647">
        <f t="shared" si="10"/>
        <v>467352.04177925637</v>
      </c>
      <c r="N15" s="647">
        <f t="shared" si="11"/>
        <v>370129.83322627685</v>
      </c>
      <c r="O15" s="648">
        <f t="shared" si="12"/>
        <v>4859541.3364743171</v>
      </c>
      <c r="P15" s="649"/>
      <c r="Q15" s="649"/>
    </row>
    <row r="16" spans="1:17" x14ac:dyDescent="0.2">
      <c r="A16" s="645" t="s">
        <v>158</v>
      </c>
      <c r="B16" s="889">
        <f>ISR!Q19</f>
        <v>4.8409002026978074</v>
      </c>
      <c r="C16" s="647">
        <f t="shared" si="0"/>
        <v>952298.55970913556</v>
      </c>
      <c r="D16" s="647">
        <f t="shared" si="1"/>
        <v>884163.51404972409</v>
      </c>
      <c r="E16" s="647">
        <f t="shared" si="2"/>
        <v>724513.24389380519</v>
      </c>
      <c r="F16" s="647">
        <f t="shared" si="3"/>
        <v>702377.47112590878</v>
      </c>
      <c r="G16" s="647">
        <f t="shared" si="4"/>
        <v>630842.11286849203</v>
      </c>
      <c r="H16" s="647">
        <f t="shared" si="5"/>
        <v>559182.87248913094</v>
      </c>
      <c r="I16" s="647">
        <f t="shared" si="6"/>
        <v>679570.97556146816</v>
      </c>
      <c r="J16" s="647">
        <f t="shared" si="7"/>
        <v>795578.62490295991</v>
      </c>
      <c r="K16" s="647">
        <f t="shared" si="8"/>
        <v>802569.35573585285</v>
      </c>
      <c r="L16" s="647">
        <f t="shared" si="9"/>
        <v>598500.09338813147</v>
      </c>
      <c r="M16" s="647">
        <f t="shared" si="10"/>
        <v>851678.61733588518</v>
      </c>
      <c r="N16" s="647">
        <f t="shared" si="11"/>
        <v>674505.80379792163</v>
      </c>
      <c r="O16" s="648">
        <f t="shared" si="12"/>
        <v>8855781.2448584158</v>
      </c>
      <c r="P16" s="649"/>
      <c r="Q16" s="649"/>
    </row>
    <row r="17" spans="1:20" x14ac:dyDescent="0.2">
      <c r="A17" s="645" t="s">
        <v>285</v>
      </c>
      <c r="B17" s="889">
        <f>ISR!Q20</f>
        <v>1.6915860220620076</v>
      </c>
      <c r="C17" s="647">
        <f t="shared" si="0"/>
        <v>332767.63927833358</v>
      </c>
      <c r="D17" s="647">
        <f t="shared" si="1"/>
        <v>308958.78430838702</v>
      </c>
      <c r="E17" s="647">
        <f t="shared" si="2"/>
        <v>253171.19230976008</v>
      </c>
      <c r="F17" s="647">
        <f t="shared" si="3"/>
        <v>245436.15084353715</v>
      </c>
      <c r="G17" s="647">
        <f t="shared" si="4"/>
        <v>220439.10338447016</v>
      </c>
      <c r="H17" s="647">
        <f t="shared" si="5"/>
        <v>195398.76702104864</v>
      </c>
      <c r="I17" s="647">
        <f t="shared" si="6"/>
        <v>237466.73451730778</v>
      </c>
      <c r="J17" s="647">
        <f t="shared" si="7"/>
        <v>278004.01268077345</v>
      </c>
      <c r="K17" s="647">
        <f t="shared" si="8"/>
        <v>280446.82746020833</v>
      </c>
      <c r="L17" s="647">
        <f t="shared" si="9"/>
        <v>209137.62932232238</v>
      </c>
      <c r="M17" s="647">
        <f t="shared" si="10"/>
        <v>297607.3837613081</v>
      </c>
      <c r="N17" s="647">
        <f t="shared" si="11"/>
        <v>235696.77988164243</v>
      </c>
      <c r="O17" s="648">
        <f t="shared" si="12"/>
        <v>3094531.0047690989</v>
      </c>
      <c r="P17" s="649"/>
      <c r="Q17" s="649"/>
    </row>
    <row r="18" spans="1:20" x14ac:dyDescent="0.2">
      <c r="A18" s="645" t="s">
        <v>286</v>
      </c>
      <c r="B18" s="889">
        <f>ISR!Q21</f>
        <v>1.9666956149547652</v>
      </c>
      <c r="C18" s="647">
        <f t="shared" si="0"/>
        <v>386887.0092516985</v>
      </c>
      <c r="D18" s="647">
        <f t="shared" si="1"/>
        <v>359206.02226328058</v>
      </c>
      <c r="E18" s="647">
        <f t="shared" si="2"/>
        <v>294345.46470272442</v>
      </c>
      <c r="F18" s="647">
        <f t="shared" si="3"/>
        <v>285352.44162573648</v>
      </c>
      <c r="G18" s="647">
        <f t="shared" si="4"/>
        <v>256290.02151621331</v>
      </c>
      <c r="H18" s="647">
        <f t="shared" si="5"/>
        <v>227177.27224975696</v>
      </c>
      <c r="I18" s="647">
        <f t="shared" si="6"/>
        <v>276086.92634118791</v>
      </c>
      <c r="J18" s="647">
        <f t="shared" si="7"/>
        <v>323216.94879733655</v>
      </c>
      <c r="K18" s="647">
        <f t="shared" si="8"/>
        <v>326057.04859256005</v>
      </c>
      <c r="L18" s="647">
        <f t="shared" si="9"/>
        <v>243150.54224015653</v>
      </c>
      <c r="M18" s="647">
        <f t="shared" si="10"/>
        <v>346008.4967526822</v>
      </c>
      <c r="N18" s="647">
        <f t="shared" si="11"/>
        <v>274029.11670264014</v>
      </c>
      <c r="O18" s="648">
        <f t="shared" si="12"/>
        <v>3597807.311035973</v>
      </c>
      <c r="P18" s="649"/>
      <c r="Q18" s="649"/>
    </row>
    <row r="19" spans="1:20" x14ac:dyDescent="0.2">
      <c r="A19" s="645" t="s">
        <v>287</v>
      </c>
      <c r="B19" s="889">
        <f>ISR!Q22</f>
        <v>4.3661514973901747</v>
      </c>
      <c r="C19" s="647">
        <f t="shared" si="0"/>
        <v>858906.32079533162</v>
      </c>
      <c r="D19" s="647">
        <f t="shared" si="1"/>
        <v>797453.30189921823</v>
      </c>
      <c r="E19" s="647">
        <f t="shared" si="2"/>
        <v>653459.98724432313</v>
      </c>
      <c r="F19" s="647">
        <f t="shared" si="3"/>
        <v>633495.07713058474</v>
      </c>
      <c r="G19" s="647">
        <f t="shared" si="4"/>
        <v>568975.21543256822</v>
      </c>
      <c r="H19" s="647">
        <f t="shared" si="5"/>
        <v>504343.62077382556</v>
      </c>
      <c r="I19" s="647">
        <f t="shared" si="6"/>
        <v>612925.22222975211</v>
      </c>
      <c r="J19" s="647">
        <f t="shared" si="7"/>
        <v>717555.96252032777</v>
      </c>
      <c r="K19" s="647">
        <f t="shared" si="8"/>
        <v>723861.1100374934</v>
      </c>
      <c r="L19" s="647">
        <f t="shared" si="9"/>
        <v>539804.98864208348</v>
      </c>
      <c r="M19" s="647">
        <f t="shared" si="10"/>
        <v>768154.20989342779</v>
      </c>
      <c r="N19" s="647">
        <f t="shared" si="11"/>
        <v>608356.79355865042</v>
      </c>
      <c r="O19" s="648">
        <f t="shared" si="12"/>
        <v>7987291.8101575868</v>
      </c>
      <c r="P19" s="649"/>
      <c r="Q19" s="649"/>
    </row>
    <row r="20" spans="1:20" x14ac:dyDescent="0.2">
      <c r="A20" s="645" t="s">
        <v>162</v>
      </c>
      <c r="B20" s="889">
        <f>ISR!Q23</f>
        <v>2.5561071960328481E-2</v>
      </c>
      <c r="C20" s="647">
        <f t="shared" si="0"/>
        <v>5028.3565025523239</v>
      </c>
      <c r="D20" s="647">
        <f t="shared" si="1"/>
        <v>4668.5877132370852</v>
      </c>
      <c r="E20" s="647">
        <f t="shared" si="2"/>
        <v>3825.5973864240891</v>
      </c>
      <c r="F20" s="647">
        <f t="shared" si="3"/>
        <v>3708.7153899098134</v>
      </c>
      <c r="G20" s="647">
        <f t="shared" si="4"/>
        <v>3330.9921641538513</v>
      </c>
      <c r="H20" s="647">
        <f t="shared" si="5"/>
        <v>2952.6148121608198</v>
      </c>
      <c r="I20" s="647">
        <f t="shared" si="6"/>
        <v>3588.2918220038478</v>
      </c>
      <c r="J20" s="647">
        <f t="shared" si="7"/>
        <v>4200.8390236821415</v>
      </c>
      <c r="K20" s="647">
        <f t="shared" si="8"/>
        <v>4237.7516982659472</v>
      </c>
      <c r="L20" s="647">
        <f t="shared" si="9"/>
        <v>3160.2188260009334</v>
      </c>
      <c r="M20" s="647">
        <f t="shared" si="10"/>
        <v>4497.0599502678078</v>
      </c>
      <c r="N20" s="647">
        <f t="shared" si="11"/>
        <v>3561.5465443657595</v>
      </c>
      <c r="O20" s="648">
        <f t="shared" si="12"/>
        <v>46760.57183302442</v>
      </c>
      <c r="P20" s="649"/>
      <c r="Q20" s="649"/>
    </row>
    <row r="21" spans="1:20" x14ac:dyDescent="0.2">
      <c r="A21" s="645" t="s">
        <v>163</v>
      </c>
      <c r="B21" s="889">
        <f>ISR!Q24</f>
        <v>33.258097581135424</v>
      </c>
      <c r="C21" s="647">
        <f t="shared" si="0"/>
        <v>6542510.090898118</v>
      </c>
      <c r="D21" s="647">
        <f t="shared" si="1"/>
        <v>6074406.6592320465</v>
      </c>
      <c r="E21" s="647">
        <f t="shared" si="2"/>
        <v>4977572.5909029506</v>
      </c>
      <c r="F21" s="647">
        <f t="shared" si="3"/>
        <v>4825494.7417586399</v>
      </c>
      <c r="G21" s="647">
        <f t="shared" si="4"/>
        <v>4334030.3806258133</v>
      </c>
      <c r="H21" s="647">
        <f t="shared" si="5"/>
        <v>3841714.9208279313</v>
      </c>
      <c r="I21" s="647">
        <f t="shared" si="6"/>
        <v>4668808.8727660934</v>
      </c>
      <c r="J21" s="647">
        <f t="shared" si="7"/>
        <v>5465808.1002666568</v>
      </c>
      <c r="K21" s="647">
        <f t="shared" si="8"/>
        <v>5513836.0286412667</v>
      </c>
      <c r="L21" s="647">
        <f t="shared" si="9"/>
        <v>4111833.2695906861</v>
      </c>
      <c r="M21" s="647">
        <f t="shared" si="10"/>
        <v>5851227.948747606</v>
      </c>
      <c r="N21" s="647">
        <f t="shared" si="11"/>
        <v>4634009.9779895889</v>
      </c>
      <c r="O21" s="648">
        <f t="shared" si="12"/>
        <v>60841253.582247406</v>
      </c>
      <c r="P21" s="649"/>
      <c r="Q21" s="649"/>
      <c r="T21" s="649"/>
    </row>
    <row r="22" spans="1:20" x14ac:dyDescent="0.2">
      <c r="A22" s="645" t="s">
        <v>164</v>
      </c>
      <c r="B22" s="889">
        <f>ISR!Q25</f>
        <v>4.8369742120612678</v>
      </c>
      <c r="C22" s="647">
        <f t="shared" si="0"/>
        <v>951526.24153027195</v>
      </c>
      <c r="D22" s="647">
        <f t="shared" si="1"/>
        <v>883446.45368244068</v>
      </c>
      <c r="E22" s="647">
        <f t="shared" si="2"/>
        <v>723925.66057407658</v>
      </c>
      <c r="F22" s="647">
        <f t="shared" si="3"/>
        <v>701807.84001196432</v>
      </c>
      <c r="G22" s="647">
        <f t="shared" si="4"/>
        <v>630330.49723409489</v>
      </c>
      <c r="H22" s="647">
        <f t="shared" si="5"/>
        <v>558729.37280320842</v>
      </c>
      <c r="I22" s="647">
        <f t="shared" si="6"/>
        <v>679019.84061234607</v>
      </c>
      <c r="J22" s="647">
        <f t="shared" si="7"/>
        <v>794933.40725722956</v>
      </c>
      <c r="K22" s="647">
        <f t="shared" si="8"/>
        <v>801918.46857770893</v>
      </c>
      <c r="L22" s="647">
        <f t="shared" si="9"/>
        <v>598014.70726897521</v>
      </c>
      <c r="M22" s="647">
        <f t="shared" si="10"/>
        <v>850987.90235788608</v>
      </c>
      <c r="N22" s="647">
        <f t="shared" si="11"/>
        <v>673958.77672462503</v>
      </c>
      <c r="O22" s="648">
        <f t="shared" si="12"/>
        <v>8848599.1686348282</v>
      </c>
      <c r="P22" s="649"/>
      <c r="Q22" s="649"/>
      <c r="T22" s="649"/>
    </row>
    <row r="23" spans="1:20" ht="13.5" thickBot="1" x14ac:dyDescent="0.25">
      <c r="A23" s="645" t="s">
        <v>165</v>
      </c>
      <c r="B23" s="889">
        <f>ISR!Q26</f>
        <v>7.2226947942566548</v>
      </c>
      <c r="C23" s="647">
        <f t="shared" si="0"/>
        <v>1420843.5542538392</v>
      </c>
      <c r="D23" s="647">
        <f t="shared" si="1"/>
        <v>1319185.0570767201</v>
      </c>
      <c r="E23" s="647">
        <f t="shared" si="2"/>
        <v>1080984.4896462648</v>
      </c>
      <c r="F23" s="647">
        <f t="shared" si="3"/>
        <v>1047957.5888544588</v>
      </c>
      <c r="G23" s="647">
        <f t="shared" si="4"/>
        <v>941225.7749238211</v>
      </c>
      <c r="H23" s="647">
        <f t="shared" si="5"/>
        <v>834309.12703259697</v>
      </c>
      <c r="I23" s="647">
        <f t="shared" si="6"/>
        <v>1013929.9597170674</v>
      </c>
      <c r="J23" s="647">
        <f t="shared" si="7"/>
        <v>1187015.0905623168</v>
      </c>
      <c r="K23" s="647">
        <f t="shared" si="8"/>
        <v>1197445.3644949724</v>
      </c>
      <c r="L23" s="647">
        <f t="shared" si="9"/>
        <v>892971.00288651173</v>
      </c>
      <c r="M23" s="647">
        <f t="shared" si="10"/>
        <v>1270717.1100911051</v>
      </c>
      <c r="N23" s="647">
        <f t="shared" si="11"/>
        <v>1006372.6484326511</v>
      </c>
      <c r="O23" s="648">
        <f t="shared" si="12"/>
        <v>13212956.767972326</v>
      </c>
      <c r="P23" s="649"/>
      <c r="Q23" s="649"/>
      <c r="T23" s="649"/>
    </row>
    <row r="24" spans="1:20" ht="13.5" thickBot="1" x14ac:dyDescent="0.25">
      <c r="A24" s="650" t="s">
        <v>288</v>
      </c>
      <c r="B24" s="890">
        <f>SUM(B4:B23)</f>
        <v>99.999999999999986</v>
      </c>
      <c r="C24" s="652">
        <f>'X22.55 POE'!B122</f>
        <v>19671931.249035556</v>
      </c>
      <c r="D24" s="652">
        <f>'X22.55 POE'!C122</f>
        <v>18264444.153527159</v>
      </c>
      <c r="E24" s="652">
        <f>'X22.55 POE'!D122</f>
        <v>14966498.245306481</v>
      </c>
      <c r="F24" s="652">
        <f>'X22.55 POE'!E122</f>
        <v>14509232.616166672</v>
      </c>
      <c r="G24" s="652">
        <f>'X22.55 POE'!F122</f>
        <v>13031504.19248319</v>
      </c>
      <c r="H24" s="652">
        <f>'X22.55 POE'!G122</f>
        <v>11551216.696793323</v>
      </c>
      <c r="I24" s="652">
        <f>'X22.55 POE'!H122</f>
        <v>14038111.654992327</v>
      </c>
      <c r="J24" s="652">
        <f>'X22.55 POE'!I122</f>
        <v>16434518.200965768</v>
      </c>
      <c r="K24" s="652">
        <f>'X22.55 POE'!J122</f>
        <v>16578927.929325733</v>
      </c>
      <c r="L24" s="652">
        <f>'X22.55 POE'!K122</f>
        <v>12363404.910817839</v>
      </c>
      <c r="M24" s="652">
        <f>'X22.55 POE'!L122</f>
        <v>17593393.411854457</v>
      </c>
      <c r="N24" s="652">
        <f>'X22.55 POE'!M122</f>
        <v>13933478.806731509</v>
      </c>
      <c r="O24" s="652">
        <f>SUM(C24:N24)</f>
        <v>182936662.06799999</v>
      </c>
      <c r="P24" s="649"/>
      <c r="Q24" s="649"/>
      <c r="T24" s="649"/>
    </row>
    <row r="25" spans="1:20" x14ac:dyDescent="0.2">
      <c r="A25" s="654" t="s">
        <v>289</v>
      </c>
    </row>
    <row r="27" spans="1:20" x14ac:dyDescent="0.2">
      <c r="N27" s="756"/>
      <c r="O27" s="756"/>
      <c r="Q27" s="756"/>
    </row>
    <row r="29" spans="1:20" x14ac:dyDescent="0.2">
      <c r="Q29" s="756"/>
    </row>
    <row r="31" spans="1:20" x14ac:dyDescent="0.2">
      <c r="C31" s="756"/>
    </row>
  </sheetData>
  <mergeCells count="1">
    <mergeCell ref="A1:O1"/>
  </mergeCells>
  <printOptions horizontalCentered="1"/>
  <pageMargins left="0.78740157480314965" right="0.78740157480314965" top="0.98425196850393704" bottom="0.98425196850393704" header="0" footer="0"/>
  <pageSetup paperSize="5"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pageSetUpPr fitToPage="1"/>
  </sheetPr>
  <dimension ref="A1:T31"/>
  <sheetViews>
    <sheetView workbookViewId="0">
      <selection sqref="A1:O1"/>
    </sheetView>
  </sheetViews>
  <sheetFormatPr baseColWidth="10" defaultRowHeight="12.75" x14ac:dyDescent="0.2"/>
  <cols>
    <col min="1" max="1" width="16.42578125" style="640" bestFit="1" customWidth="1"/>
    <col min="2" max="2" width="9.140625" style="640" hidden="1" customWidth="1"/>
    <col min="3" max="15" width="9.7109375" style="640" customWidth="1"/>
    <col min="16" max="16" width="12.7109375" style="640" bestFit="1" customWidth="1"/>
    <col min="17" max="19" width="11.42578125" style="640"/>
    <col min="20" max="20" width="11.7109375" style="640" bestFit="1" customWidth="1"/>
    <col min="21" max="16384" width="11.42578125" style="640"/>
  </cols>
  <sheetData>
    <row r="1" spans="1:17" x14ac:dyDescent="0.2">
      <c r="A1" s="1237" t="s">
        <v>512</v>
      </c>
      <c r="B1" s="1237"/>
      <c r="C1" s="1237"/>
      <c r="D1" s="1237"/>
      <c r="E1" s="1237"/>
      <c r="F1" s="1237"/>
      <c r="G1" s="1237"/>
      <c r="H1" s="1237"/>
      <c r="I1" s="1237"/>
      <c r="J1" s="1237"/>
      <c r="K1" s="1237"/>
      <c r="L1" s="1237"/>
      <c r="M1" s="1237"/>
      <c r="N1" s="1237"/>
      <c r="O1" s="1237"/>
    </row>
    <row r="2" spans="1:17" ht="13.5" thickBot="1" x14ac:dyDescent="0.25"/>
    <row r="3" spans="1:17" ht="23.25" thickBot="1" x14ac:dyDescent="0.25">
      <c r="A3" s="667" t="s">
        <v>351</v>
      </c>
      <c r="B3" s="668" t="s">
        <v>281</v>
      </c>
      <c r="C3" s="667" t="s">
        <v>1</v>
      </c>
      <c r="D3" s="669" t="s">
        <v>2</v>
      </c>
      <c r="E3" s="667" t="s">
        <v>3</v>
      </c>
      <c r="F3" s="669" t="s">
        <v>4</v>
      </c>
      <c r="G3" s="667" t="s">
        <v>5</v>
      </c>
      <c r="H3" s="667" t="s">
        <v>6</v>
      </c>
      <c r="I3" s="667" t="s">
        <v>7</v>
      </c>
      <c r="J3" s="669" t="s">
        <v>8</v>
      </c>
      <c r="K3" s="667" t="s">
        <v>9</v>
      </c>
      <c r="L3" s="669" t="s">
        <v>10</v>
      </c>
      <c r="M3" s="667" t="s">
        <v>11</v>
      </c>
      <c r="N3" s="667" t="s">
        <v>12</v>
      </c>
      <c r="O3" s="670" t="s">
        <v>168</v>
      </c>
    </row>
    <row r="4" spans="1:17" x14ac:dyDescent="0.2">
      <c r="A4" s="645" t="s">
        <v>282</v>
      </c>
      <c r="B4" s="889">
        <f>'ISR Enaje'!T9</f>
        <v>3.6689125344346443</v>
      </c>
      <c r="C4" s="647">
        <f>$C$24*B4/100</f>
        <v>204154.45691891853</v>
      </c>
      <c r="D4" s="647">
        <f>$D$24*B4/100</f>
        <v>40221.016047966135</v>
      </c>
      <c r="E4" s="647">
        <f>$E$24*B4/100</f>
        <v>28783.702770607943</v>
      </c>
      <c r="F4" s="647">
        <f>$F$24*B4/100</f>
        <v>89612.029005879464</v>
      </c>
      <c r="G4" s="647">
        <f>$G$24*B4/100</f>
        <v>257645.80148378943</v>
      </c>
      <c r="H4" s="647">
        <f>$H$24*B4/100</f>
        <v>129296.86720489181</v>
      </c>
      <c r="I4" s="647">
        <f>$I$24*B4/100</f>
        <v>127964.93228509245</v>
      </c>
      <c r="J4" s="647">
        <f>$J$24*B4/100</f>
        <v>88619.942842137345</v>
      </c>
      <c r="K4" s="647">
        <f>$K$24*B4/100</f>
        <v>76885.289369992111</v>
      </c>
      <c r="L4" s="647">
        <f>$L$24*B4/100</f>
        <v>68045.053423131525</v>
      </c>
      <c r="M4" s="647">
        <f>$M$24*B4/100</f>
        <v>85753.864357699451</v>
      </c>
      <c r="N4" s="647">
        <f>$N$24*B4/100</f>
        <v>87136.431342019248</v>
      </c>
      <c r="O4" s="648">
        <f>SUM(C4:N4)</f>
        <v>1284119.3870521253</v>
      </c>
      <c r="P4" s="649"/>
      <c r="Q4" s="649"/>
    </row>
    <row r="5" spans="1:17" x14ac:dyDescent="0.2">
      <c r="A5" s="645" t="s">
        <v>147</v>
      </c>
      <c r="B5" s="889">
        <f>'ISR Enaje'!T10</f>
        <v>3.0189415127607973</v>
      </c>
      <c r="C5" s="647">
        <f t="shared" ref="C5:C23" si="0">$C$24*B5/100</f>
        <v>167987.20580637432</v>
      </c>
      <c r="D5" s="647">
        <f t="shared" ref="D5:D23" si="1">$D$24*B5/100</f>
        <v>33095.609092064107</v>
      </c>
      <c r="E5" s="647">
        <f t="shared" ref="E5:E23" si="2">$E$24*B5/100</f>
        <v>23684.488079121365</v>
      </c>
      <c r="F5" s="647">
        <f t="shared" ref="F5:F23" si="3">$F$24*B5/100</f>
        <v>73736.692240405682</v>
      </c>
      <c r="G5" s="647">
        <f t="shared" ref="G5:G23" si="4">$G$24*B5/100</f>
        <v>212002.22092724155</v>
      </c>
      <c r="H5" s="647">
        <f t="shared" ref="H5:H23" si="5">$H$24*B5/100</f>
        <v>106391.11077498522</v>
      </c>
      <c r="I5" s="647">
        <f t="shared" ref="I5:I23" si="6">$I$24*B5/100</f>
        <v>105295.13653631408</v>
      </c>
      <c r="J5" s="647">
        <f t="shared" ref="J5:J23" si="7">$J$24*B5/100</f>
        <v>72920.360404787745</v>
      </c>
      <c r="K5" s="647">
        <f t="shared" ref="K5:K23" si="8">$K$24*B5/100</f>
        <v>63264.574890025993</v>
      </c>
      <c r="L5" s="647">
        <f t="shared" ref="L5:L23" si="9">$L$24*B5/100</f>
        <v>55990.442560052055</v>
      </c>
      <c r="M5" s="647">
        <f t="shared" ref="M5:M23" si="10">$M$24*B5/100</f>
        <v>70562.025820822702</v>
      </c>
      <c r="N5" s="647">
        <f t="shared" ref="N5:N23" si="11">$N$24*B5/100</f>
        <v>71699.662334084176</v>
      </c>
      <c r="O5" s="648">
        <f t="shared" ref="O5:O23" si="12">SUM(C5:N5)</f>
        <v>1056629.5294662789</v>
      </c>
      <c r="P5" s="649"/>
      <c r="Q5" s="649"/>
    </row>
    <row r="6" spans="1:17" x14ac:dyDescent="0.2">
      <c r="A6" s="645" t="s">
        <v>148</v>
      </c>
      <c r="B6" s="889">
        <f>'ISR Enaje'!T11</f>
        <v>2.9158506739591776</v>
      </c>
      <c r="C6" s="647">
        <f t="shared" si="0"/>
        <v>162250.77736570462</v>
      </c>
      <c r="D6" s="647">
        <f t="shared" si="1"/>
        <v>31965.459969423013</v>
      </c>
      <c r="E6" s="647">
        <f t="shared" si="2"/>
        <v>22875.709991721218</v>
      </c>
      <c r="F6" s="647">
        <f t="shared" si="3"/>
        <v>71218.731087005028</v>
      </c>
      <c r="G6" s="647">
        <f t="shared" si="4"/>
        <v>204762.76739996576</v>
      </c>
      <c r="H6" s="647">
        <f t="shared" si="5"/>
        <v>102758.06627761132</v>
      </c>
      <c r="I6" s="647">
        <f t="shared" si="6"/>
        <v>101699.51737596378</v>
      </c>
      <c r="J6" s="647">
        <f t="shared" si="7"/>
        <v>70430.275357405902</v>
      </c>
      <c r="K6" s="647">
        <f t="shared" si="8"/>
        <v>61104.215683240182</v>
      </c>
      <c r="L6" s="647">
        <f t="shared" si="9"/>
        <v>54078.480481955645</v>
      </c>
      <c r="M6" s="647">
        <f t="shared" si="10"/>
        <v>68152.47320158103</v>
      </c>
      <c r="N6" s="647">
        <f t="shared" si="11"/>
        <v>69251.261694134679</v>
      </c>
      <c r="O6" s="648">
        <f t="shared" si="12"/>
        <v>1020547.7358857122</v>
      </c>
      <c r="P6" s="649"/>
      <c r="Q6" s="649"/>
    </row>
    <row r="7" spans="1:17" x14ac:dyDescent="0.2">
      <c r="A7" s="645" t="s">
        <v>283</v>
      </c>
      <c r="B7" s="889">
        <f>'ISR Enaje'!T12</f>
        <v>10.636056638976944</v>
      </c>
      <c r="C7" s="647">
        <f t="shared" si="0"/>
        <v>591837.0488556209</v>
      </c>
      <c r="D7" s="647">
        <f t="shared" si="1"/>
        <v>116599.40125263536</v>
      </c>
      <c r="E7" s="647">
        <f t="shared" si="2"/>
        <v>83443.00663325534</v>
      </c>
      <c r="F7" s="647">
        <f t="shared" si="3"/>
        <v>259782.32162654924</v>
      </c>
      <c r="G7" s="647">
        <f t="shared" si="4"/>
        <v>746906.69555535261</v>
      </c>
      <c r="H7" s="647">
        <f t="shared" si="5"/>
        <v>374827.36094863614</v>
      </c>
      <c r="I7" s="647">
        <f t="shared" si="6"/>
        <v>370966.12546987867</v>
      </c>
      <c r="J7" s="647">
        <f t="shared" si="7"/>
        <v>256906.29650213663</v>
      </c>
      <c r="K7" s="647">
        <f t="shared" si="8"/>
        <v>222887.92244794656</v>
      </c>
      <c r="L7" s="647">
        <f t="shared" si="9"/>
        <v>197260.36950132996</v>
      </c>
      <c r="M7" s="647">
        <f t="shared" si="10"/>
        <v>248597.62934091964</v>
      </c>
      <c r="N7" s="647">
        <f t="shared" si="11"/>
        <v>252605.64550766943</v>
      </c>
      <c r="O7" s="648">
        <f t="shared" si="12"/>
        <v>3722619.8236419307</v>
      </c>
      <c r="P7" s="649"/>
      <c r="Q7" s="649"/>
    </row>
    <row r="8" spans="1:17" x14ac:dyDescent="0.2">
      <c r="A8" s="645" t="s">
        <v>150</v>
      </c>
      <c r="B8" s="889">
        <f>'ISR Enaje'!T13</f>
        <v>4.9259786013988212</v>
      </c>
      <c r="C8" s="647">
        <f t="shared" si="0"/>
        <v>274103.15092664264</v>
      </c>
      <c r="D8" s="647">
        <f t="shared" si="1"/>
        <v>54001.795496422208</v>
      </c>
      <c r="E8" s="647">
        <f t="shared" si="2"/>
        <v>38645.757451638805</v>
      </c>
      <c r="F8" s="647">
        <f t="shared" si="3"/>
        <v>120315.47036563893</v>
      </c>
      <c r="G8" s="647">
        <f t="shared" si="4"/>
        <v>345922.03900684277</v>
      </c>
      <c r="H8" s="647">
        <f t="shared" si="5"/>
        <v>173597.37936007962</v>
      </c>
      <c r="I8" s="647">
        <f t="shared" si="6"/>
        <v>171809.08845594703</v>
      </c>
      <c r="J8" s="647">
        <f t="shared" si="7"/>
        <v>118983.46935240395</v>
      </c>
      <c r="K8" s="647">
        <f t="shared" si="8"/>
        <v>103228.21453068465</v>
      </c>
      <c r="L8" s="647">
        <f t="shared" si="9"/>
        <v>91359.080912250734</v>
      </c>
      <c r="M8" s="647">
        <f t="shared" si="10"/>
        <v>115135.39689175965</v>
      </c>
      <c r="N8" s="647">
        <f t="shared" si="11"/>
        <v>116991.66773927642</v>
      </c>
      <c r="O8" s="648">
        <f t="shared" si="12"/>
        <v>1724092.5104895877</v>
      </c>
      <c r="P8" s="649"/>
      <c r="Q8" s="649"/>
    </row>
    <row r="9" spans="1:17" x14ac:dyDescent="0.2">
      <c r="A9" s="645" t="s">
        <v>284</v>
      </c>
      <c r="B9" s="889">
        <f>'ISR Enaje'!T14</f>
        <v>4.5669690465560464</v>
      </c>
      <c r="C9" s="647">
        <f t="shared" si="0"/>
        <v>254126.27766795008</v>
      </c>
      <c r="D9" s="647">
        <f t="shared" si="1"/>
        <v>50066.098220681764</v>
      </c>
      <c r="E9" s="647">
        <f t="shared" si="2"/>
        <v>35829.221428657533</v>
      </c>
      <c r="F9" s="647">
        <f t="shared" si="3"/>
        <v>111546.7754621732</v>
      </c>
      <c r="G9" s="647">
        <f t="shared" si="4"/>
        <v>320710.94344932534</v>
      </c>
      <c r="H9" s="647">
        <f t="shared" si="5"/>
        <v>160945.45312795253</v>
      </c>
      <c r="I9" s="647">
        <f t="shared" si="6"/>
        <v>159287.49440212856</v>
      </c>
      <c r="J9" s="647">
        <f t="shared" si="7"/>
        <v>110311.85182777129</v>
      </c>
      <c r="K9" s="647">
        <f t="shared" si="8"/>
        <v>95704.853520681136</v>
      </c>
      <c r="L9" s="647">
        <f t="shared" si="9"/>
        <v>84700.752563069836</v>
      </c>
      <c r="M9" s="647">
        <f t="shared" si="10"/>
        <v>106744.23019586311</v>
      </c>
      <c r="N9" s="647">
        <f t="shared" si="11"/>
        <v>108465.21442836183</v>
      </c>
      <c r="O9" s="648">
        <f t="shared" si="12"/>
        <v>1598439.1662946162</v>
      </c>
      <c r="P9" s="649"/>
      <c r="Q9" s="649"/>
    </row>
    <row r="10" spans="1:17" x14ac:dyDescent="0.2">
      <c r="A10" s="645" t="s">
        <v>152</v>
      </c>
      <c r="B10" s="889">
        <f>'ISR Enaje'!T15</f>
        <v>3.0924320014220541</v>
      </c>
      <c r="C10" s="647">
        <f t="shared" si="0"/>
        <v>172076.54036001384</v>
      </c>
      <c r="D10" s="647">
        <f t="shared" si="1"/>
        <v>33901.259839002065</v>
      </c>
      <c r="E10" s="647">
        <f t="shared" si="2"/>
        <v>24261.042674587705</v>
      </c>
      <c r="F10" s="647">
        <f t="shared" si="3"/>
        <v>75531.674197527638</v>
      </c>
      <c r="G10" s="647">
        <f t="shared" si="4"/>
        <v>217163.01875898452</v>
      </c>
      <c r="H10" s="647">
        <f t="shared" si="5"/>
        <v>108981.00351951785</v>
      </c>
      <c r="I10" s="647">
        <f t="shared" si="6"/>
        <v>107858.34983640579</v>
      </c>
      <c r="J10" s="647">
        <f t="shared" si="7"/>
        <v>74695.470289113422</v>
      </c>
      <c r="K10" s="647">
        <f t="shared" si="8"/>
        <v>64804.632722866518</v>
      </c>
      <c r="L10" s="647">
        <f t="shared" si="9"/>
        <v>57353.425236829833</v>
      </c>
      <c r="M10" s="647">
        <f t="shared" si="10"/>
        <v>72279.726457480036</v>
      </c>
      <c r="N10" s="647">
        <f t="shared" si="11"/>
        <v>73445.056605389633</v>
      </c>
      <c r="O10" s="648">
        <f t="shared" si="12"/>
        <v>1082351.2004977188</v>
      </c>
      <c r="P10" s="649"/>
      <c r="Q10" s="649"/>
    </row>
    <row r="11" spans="1:17" x14ac:dyDescent="0.2">
      <c r="A11" s="645" t="s">
        <v>153</v>
      </c>
      <c r="B11" s="889">
        <f>'ISR Enaje'!T16</f>
        <v>3.5445769153881468</v>
      </c>
      <c r="C11" s="647">
        <f t="shared" si="0"/>
        <v>197235.87531091445</v>
      </c>
      <c r="D11" s="647">
        <f t="shared" si="1"/>
        <v>38857.967765384608</v>
      </c>
      <c r="E11" s="647">
        <f t="shared" si="2"/>
        <v>27808.253105660995</v>
      </c>
      <c r="F11" s="647">
        <f t="shared" si="3"/>
        <v>86575.170809919335</v>
      </c>
      <c r="G11" s="647">
        <f t="shared" si="4"/>
        <v>248914.4540009707</v>
      </c>
      <c r="H11" s="647">
        <f t="shared" si="5"/>
        <v>124915.13123440751</v>
      </c>
      <c r="I11" s="647">
        <f t="shared" si="6"/>
        <v>123628.33419980673</v>
      </c>
      <c r="J11" s="647">
        <f t="shared" si="7"/>
        <v>85616.705411501709</v>
      </c>
      <c r="K11" s="647">
        <f t="shared" si="8"/>
        <v>74279.72710606092</v>
      </c>
      <c r="L11" s="647">
        <f t="shared" si="9"/>
        <v>65739.077534905358</v>
      </c>
      <c r="M11" s="647">
        <f t="shared" si="10"/>
        <v>82847.755337527109</v>
      </c>
      <c r="N11" s="647">
        <f t="shared" si="11"/>
        <v>84183.468568791955</v>
      </c>
      <c r="O11" s="648">
        <f t="shared" si="12"/>
        <v>1240601.9203858513</v>
      </c>
      <c r="P11" s="649"/>
      <c r="Q11" s="649"/>
    </row>
    <row r="12" spans="1:17" x14ac:dyDescent="0.2">
      <c r="A12" s="645" t="s">
        <v>154</v>
      </c>
      <c r="B12" s="889">
        <f>'ISR Enaje'!T17</f>
        <v>2.9474150327827107</v>
      </c>
      <c r="C12" s="647">
        <f t="shared" si="0"/>
        <v>164007.15734836485</v>
      </c>
      <c r="D12" s="647">
        <f t="shared" si="1"/>
        <v>32311.489091368465</v>
      </c>
      <c r="E12" s="647">
        <f t="shared" si="2"/>
        <v>23123.341712018253</v>
      </c>
      <c r="F12" s="647">
        <f t="shared" si="3"/>
        <v>71989.680574598169</v>
      </c>
      <c r="G12" s="647">
        <f t="shared" si="4"/>
        <v>206979.34368819394</v>
      </c>
      <c r="H12" s="647">
        <f t="shared" si="5"/>
        <v>103870.43204618989</v>
      </c>
      <c r="I12" s="647">
        <f t="shared" si="6"/>
        <v>102800.42425274714</v>
      </c>
      <c r="J12" s="647">
        <f t="shared" si="7"/>
        <v>71192.689737290071</v>
      </c>
      <c r="K12" s="647">
        <f t="shared" si="8"/>
        <v>61765.674586702313</v>
      </c>
      <c r="L12" s="647">
        <f t="shared" si="9"/>
        <v>54663.885138582365</v>
      </c>
      <c r="M12" s="647">
        <f t="shared" si="10"/>
        <v>68890.230158086983</v>
      </c>
      <c r="N12" s="647">
        <f t="shared" si="11"/>
        <v>70000.913139806304</v>
      </c>
      <c r="O12" s="648">
        <f t="shared" si="12"/>
        <v>1031595.2614739486</v>
      </c>
      <c r="P12" s="649"/>
      <c r="Q12" s="649"/>
    </row>
    <row r="13" spans="1:17" x14ac:dyDescent="0.2">
      <c r="A13" s="645" t="s">
        <v>155</v>
      </c>
      <c r="B13" s="889">
        <f>'ISR Enaje'!T18</f>
        <v>3.1262542546374323</v>
      </c>
      <c r="C13" s="647">
        <f t="shared" si="0"/>
        <v>173958.55953385707</v>
      </c>
      <c r="D13" s="647">
        <f t="shared" si="1"/>
        <v>34272.041474319441</v>
      </c>
      <c r="E13" s="647">
        <f t="shared" si="2"/>
        <v>24526.388243457666</v>
      </c>
      <c r="F13" s="647">
        <f t="shared" si="3"/>
        <v>76357.772041980003</v>
      </c>
      <c r="G13" s="647">
        <f t="shared" si="4"/>
        <v>219538.15347693619</v>
      </c>
      <c r="H13" s="647">
        <f t="shared" si="5"/>
        <v>110172.94018781264</v>
      </c>
      <c r="I13" s="647">
        <f t="shared" si="6"/>
        <v>109038.00792359487</v>
      </c>
      <c r="J13" s="647">
        <f t="shared" si="7"/>
        <v>75512.422483696326</v>
      </c>
      <c r="K13" s="647">
        <f t="shared" si="8"/>
        <v>65513.407789375487</v>
      </c>
      <c r="L13" s="647">
        <f t="shared" si="9"/>
        <v>57980.705665384863</v>
      </c>
      <c r="M13" s="647">
        <f t="shared" si="10"/>
        <v>73070.25740834944</v>
      </c>
      <c r="N13" s="647">
        <f t="shared" si="11"/>
        <v>74248.332894337305</v>
      </c>
      <c r="O13" s="648">
        <f t="shared" si="12"/>
        <v>1094188.9891231013</v>
      </c>
      <c r="P13" s="649"/>
      <c r="Q13" s="649"/>
    </row>
    <row r="14" spans="1:17" x14ac:dyDescent="0.2">
      <c r="A14" s="645" t="s">
        <v>156</v>
      </c>
      <c r="B14" s="889">
        <f>'ISR Enaje'!T19</f>
        <v>3.5571999751633672</v>
      </c>
      <c r="C14" s="647">
        <f t="shared" si="0"/>
        <v>197938.2779680719</v>
      </c>
      <c r="D14" s="647">
        <f t="shared" si="1"/>
        <v>38996.349993096075</v>
      </c>
      <c r="E14" s="647">
        <f t="shared" si="2"/>
        <v>27907.284738935279</v>
      </c>
      <c r="F14" s="647">
        <f t="shared" si="3"/>
        <v>86883.485055108686</v>
      </c>
      <c r="G14" s="647">
        <f t="shared" si="4"/>
        <v>249800.89605224342</v>
      </c>
      <c r="H14" s="647">
        <f t="shared" si="5"/>
        <v>125359.98296313034</v>
      </c>
      <c r="I14" s="647">
        <f t="shared" si="6"/>
        <v>124068.60334610177</v>
      </c>
      <c r="J14" s="647">
        <f t="shared" si="7"/>
        <v>85921.606339303558</v>
      </c>
      <c r="K14" s="647">
        <f t="shared" si="8"/>
        <v>74544.254427016</v>
      </c>
      <c r="L14" s="647">
        <f t="shared" si="9"/>
        <v>65973.189623625571</v>
      </c>
      <c r="M14" s="647">
        <f t="shared" si="10"/>
        <v>83142.795392470842</v>
      </c>
      <c r="N14" s="647">
        <f t="shared" si="11"/>
        <v>84483.265408075065</v>
      </c>
      <c r="O14" s="648">
        <f t="shared" si="12"/>
        <v>1245019.9913071785</v>
      </c>
      <c r="P14" s="649"/>
      <c r="Q14" s="649"/>
    </row>
    <row r="15" spans="1:17" x14ac:dyDescent="0.2">
      <c r="A15" s="645" t="s">
        <v>157</v>
      </c>
      <c r="B15" s="889">
        <f>'ISR Enaje'!T20</f>
        <v>3.2256653277433602</v>
      </c>
      <c r="C15" s="647">
        <f t="shared" si="0"/>
        <v>179490.22959990159</v>
      </c>
      <c r="D15" s="647">
        <f t="shared" si="1"/>
        <v>35361.850601468657</v>
      </c>
      <c r="E15" s="647">
        <f t="shared" si="2"/>
        <v>25306.297481830698</v>
      </c>
      <c r="F15" s="647">
        <f t="shared" si="3"/>
        <v>78785.856081341466</v>
      </c>
      <c r="G15" s="647">
        <f t="shared" si="4"/>
        <v>226519.19905007281</v>
      </c>
      <c r="H15" s="647">
        <f t="shared" si="5"/>
        <v>113676.3053395942</v>
      </c>
      <c r="I15" s="647">
        <f t="shared" si="6"/>
        <v>112505.28361332418</v>
      </c>
      <c r="J15" s="647">
        <f t="shared" si="7"/>
        <v>77913.625437933675</v>
      </c>
      <c r="K15" s="647">
        <f t="shared" si="8"/>
        <v>67596.654269250619</v>
      </c>
      <c r="L15" s="647">
        <f t="shared" si="9"/>
        <v>59824.421403183464</v>
      </c>
      <c r="M15" s="647">
        <f t="shared" si="10"/>
        <v>75393.80249119582</v>
      </c>
      <c r="N15" s="647">
        <f t="shared" si="11"/>
        <v>76609.33934107887</v>
      </c>
      <c r="O15" s="648">
        <f t="shared" si="12"/>
        <v>1128982.8647101761</v>
      </c>
      <c r="P15" s="649"/>
      <c r="Q15" s="649"/>
    </row>
    <row r="16" spans="1:17" x14ac:dyDescent="0.2">
      <c r="A16" s="645" t="s">
        <v>158</v>
      </c>
      <c r="B16" s="889">
        <f>'ISR Enaje'!T21</f>
        <v>3.9058227423840197</v>
      </c>
      <c r="C16" s="647">
        <f t="shared" si="0"/>
        <v>217337.18460416869</v>
      </c>
      <c r="D16" s="647">
        <f t="shared" si="1"/>
        <v>42818.180517390349</v>
      </c>
      <c r="E16" s="647">
        <f t="shared" si="2"/>
        <v>30642.333344364186</v>
      </c>
      <c r="F16" s="647">
        <f t="shared" si="3"/>
        <v>95398.485953897107</v>
      </c>
      <c r="G16" s="647">
        <f t="shared" si="4"/>
        <v>274282.58958760113</v>
      </c>
      <c r="H16" s="647">
        <f t="shared" si="5"/>
        <v>137645.8663726885</v>
      </c>
      <c r="I16" s="647">
        <f t="shared" si="6"/>
        <v>136227.92532004649</v>
      </c>
      <c r="J16" s="647">
        <f t="shared" si="7"/>
        <v>94342.338481211293</v>
      </c>
      <c r="K16" s="647">
        <f t="shared" si="8"/>
        <v>81849.95116607919</v>
      </c>
      <c r="L16" s="647">
        <f t="shared" si="9"/>
        <v>72438.880641714844</v>
      </c>
      <c r="M16" s="647">
        <f t="shared" si="10"/>
        <v>91291.190649010372</v>
      </c>
      <c r="N16" s="647">
        <f t="shared" si="11"/>
        <v>92763.033196234697</v>
      </c>
      <c r="O16" s="648">
        <f t="shared" si="12"/>
        <v>1367037.9598344069</v>
      </c>
      <c r="P16" s="649"/>
      <c r="Q16" s="649"/>
    </row>
    <row r="17" spans="1:20" x14ac:dyDescent="0.2">
      <c r="A17" s="645" t="s">
        <v>285</v>
      </c>
      <c r="B17" s="889">
        <f>'ISR Enaje'!T22</f>
        <v>2.6233120281771627</v>
      </c>
      <c r="C17" s="647">
        <f t="shared" si="0"/>
        <v>145972.63832671384</v>
      </c>
      <c r="D17" s="647">
        <f t="shared" si="1"/>
        <v>28758.460223253867</v>
      </c>
      <c r="E17" s="647">
        <f t="shared" si="2"/>
        <v>20580.657888386409</v>
      </c>
      <c r="F17" s="647">
        <f t="shared" si="3"/>
        <v>64073.567127625385</v>
      </c>
      <c r="G17" s="647">
        <f t="shared" si="4"/>
        <v>184219.52654859889</v>
      </c>
      <c r="H17" s="647">
        <f t="shared" si="5"/>
        <v>92448.654406661779</v>
      </c>
      <c r="I17" s="647">
        <f t="shared" si="6"/>
        <v>91496.306575236245</v>
      </c>
      <c r="J17" s="647">
        <f t="shared" si="7"/>
        <v>63364.21482175641</v>
      </c>
      <c r="K17" s="647">
        <f t="shared" si="8"/>
        <v>54973.81104105874</v>
      </c>
      <c r="L17" s="647">
        <f t="shared" si="9"/>
        <v>48652.947004735499</v>
      </c>
      <c r="M17" s="647">
        <f t="shared" si="10"/>
        <v>61314.937797199527</v>
      </c>
      <c r="N17" s="647">
        <f t="shared" si="11"/>
        <v>62303.48810078032</v>
      </c>
      <c r="O17" s="648">
        <f t="shared" si="12"/>
        <v>918159.20986200671</v>
      </c>
      <c r="P17" s="649"/>
      <c r="Q17" s="649"/>
    </row>
    <row r="18" spans="1:20" x14ac:dyDescent="0.2">
      <c r="A18" s="645" t="s">
        <v>286</v>
      </c>
      <c r="B18" s="889">
        <f>'ISR Enaje'!T23</f>
        <v>3.47024316370329</v>
      </c>
      <c r="C18" s="647">
        <f t="shared" si="0"/>
        <v>193099.61788762151</v>
      </c>
      <c r="D18" s="647">
        <f t="shared" si="1"/>
        <v>38043.072618290877</v>
      </c>
      <c r="E18" s="647">
        <f t="shared" si="2"/>
        <v>27225.082862642161</v>
      </c>
      <c r="F18" s="647">
        <f t="shared" si="3"/>
        <v>84759.59241997941</v>
      </c>
      <c r="G18" s="647">
        <f t="shared" si="4"/>
        <v>243694.43884650938</v>
      </c>
      <c r="H18" s="647">
        <f t="shared" si="5"/>
        <v>122295.52089204232</v>
      </c>
      <c r="I18" s="647">
        <f t="shared" si="6"/>
        <v>121035.70943386493</v>
      </c>
      <c r="J18" s="647">
        <f t="shared" si="7"/>
        <v>83821.227115487025</v>
      </c>
      <c r="K18" s="647">
        <f t="shared" si="8"/>
        <v>72721.997954818551</v>
      </c>
      <c r="L18" s="647">
        <f t="shared" si="9"/>
        <v>64360.455379957399</v>
      </c>
      <c r="M18" s="647">
        <f t="shared" si="10"/>
        <v>81110.34502878983</v>
      </c>
      <c r="N18" s="647">
        <f t="shared" si="11"/>
        <v>82418.046856148052</v>
      </c>
      <c r="O18" s="648">
        <f t="shared" si="12"/>
        <v>1214585.1072961516</v>
      </c>
      <c r="P18" s="649"/>
      <c r="Q18" s="649"/>
    </row>
    <row r="19" spans="1:20" x14ac:dyDescent="0.2">
      <c r="A19" s="645" t="s">
        <v>287</v>
      </c>
      <c r="B19" s="889">
        <f>'ISR Enaje'!T24</f>
        <v>6.2041478931823457</v>
      </c>
      <c r="C19" s="647">
        <f t="shared" si="0"/>
        <v>345226.12133419805</v>
      </c>
      <c r="D19" s="647">
        <f t="shared" si="1"/>
        <v>68013.922281768013</v>
      </c>
      <c r="E19" s="647">
        <f t="shared" si="2"/>
        <v>48673.373166082267</v>
      </c>
      <c r="F19" s="647">
        <f t="shared" si="3"/>
        <v>151534.35132143131</v>
      </c>
      <c r="G19" s="647">
        <f t="shared" si="4"/>
        <v>435680.22989385418</v>
      </c>
      <c r="H19" s="647">
        <f t="shared" si="5"/>
        <v>218641.59440582502</v>
      </c>
      <c r="I19" s="647">
        <f t="shared" si="6"/>
        <v>216389.28635842088</v>
      </c>
      <c r="J19" s="647">
        <f t="shared" si="7"/>
        <v>149856.72907645607</v>
      </c>
      <c r="K19" s="647">
        <f t="shared" si="8"/>
        <v>130013.37633006707</v>
      </c>
      <c r="L19" s="647">
        <f t="shared" si="9"/>
        <v>115064.49687050225</v>
      </c>
      <c r="M19" s="647">
        <f t="shared" si="10"/>
        <v>145010.17723744892</v>
      </c>
      <c r="N19" s="647">
        <f t="shared" si="11"/>
        <v>147348.10433776694</v>
      </c>
      <c r="O19" s="648">
        <f t="shared" si="12"/>
        <v>2171451.7626138213</v>
      </c>
      <c r="P19" s="649"/>
      <c r="Q19" s="649"/>
    </row>
    <row r="20" spans="1:20" x14ac:dyDescent="0.2">
      <c r="A20" s="645" t="s">
        <v>162</v>
      </c>
      <c r="B20" s="889">
        <f>'ISR Enaje'!T25</f>
        <v>3.8393518392015831</v>
      </c>
      <c r="C20" s="647">
        <f t="shared" si="0"/>
        <v>213638.45071156268</v>
      </c>
      <c r="D20" s="647">
        <f t="shared" si="1"/>
        <v>42089.483052261072</v>
      </c>
      <c r="E20" s="647">
        <f t="shared" si="2"/>
        <v>30120.849470834903</v>
      </c>
      <c r="F20" s="647">
        <f t="shared" si="3"/>
        <v>93774.955153387185</v>
      </c>
      <c r="G20" s="647">
        <f t="shared" si="4"/>
        <v>269614.73529425007</v>
      </c>
      <c r="H20" s="647">
        <f t="shared" si="5"/>
        <v>135303.3522186701</v>
      </c>
      <c r="I20" s="647">
        <f t="shared" si="6"/>
        <v>133909.54227198067</v>
      </c>
      <c r="J20" s="647">
        <f t="shared" si="7"/>
        <v>92736.7816342148</v>
      </c>
      <c r="K20" s="647">
        <f t="shared" si="8"/>
        <v>80456.994921442558</v>
      </c>
      <c r="L20" s="647">
        <f t="shared" si="9"/>
        <v>71206.085878775732</v>
      </c>
      <c r="M20" s="647">
        <f t="shared" si="10"/>
        <v>89737.559494889996</v>
      </c>
      <c r="N20" s="647">
        <f t="shared" si="11"/>
        <v>91184.353618284265</v>
      </c>
      <c r="O20" s="648">
        <f t="shared" si="12"/>
        <v>1343773.143720554</v>
      </c>
      <c r="P20" s="649"/>
      <c r="Q20" s="649"/>
    </row>
    <row r="21" spans="1:20" x14ac:dyDescent="0.2">
      <c r="A21" s="645" t="s">
        <v>163</v>
      </c>
      <c r="B21" s="889">
        <f>'ISR Enaje'!T26</f>
        <v>22.121676932241215</v>
      </c>
      <c r="C21" s="647">
        <f t="shared" si="0"/>
        <v>1230947.5622136621</v>
      </c>
      <c r="D21" s="647">
        <f t="shared" si="1"/>
        <v>242512.27429075298</v>
      </c>
      <c r="E21" s="647">
        <f t="shared" si="2"/>
        <v>173551.09112819537</v>
      </c>
      <c r="F21" s="647">
        <f t="shared" si="3"/>
        <v>540314.96698412416</v>
      </c>
      <c r="G21" s="647">
        <f t="shared" si="4"/>
        <v>1553473.169469004</v>
      </c>
      <c r="H21" s="647">
        <f t="shared" si="5"/>
        <v>779594.36149334605</v>
      </c>
      <c r="I21" s="647">
        <f t="shared" si="6"/>
        <v>771563.47121890355</v>
      </c>
      <c r="J21" s="647">
        <f t="shared" si="7"/>
        <v>534333.19189483835</v>
      </c>
      <c r="K21" s="647">
        <f t="shared" si="8"/>
        <v>463579.19855588279</v>
      </c>
      <c r="L21" s="647">
        <f t="shared" si="9"/>
        <v>410277.07107647427</v>
      </c>
      <c r="M21" s="647">
        <f t="shared" si="10"/>
        <v>517052.19604113034</v>
      </c>
      <c r="N21" s="647">
        <f t="shared" si="11"/>
        <v>525388.37191811088</v>
      </c>
      <c r="O21" s="648">
        <f t="shared" si="12"/>
        <v>7742586.9262844259</v>
      </c>
      <c r="P21" s="649"/>
      <c r="Q21" s="649"/>
      <c r="T21" s="649"/>
    </row>
    <row r="22" spans="1:20" x14ac:dyDescent="0.2">
      <c r="A22" s="645" t="s">
        <v>164</v>
      </c>
      <c r="B22" s="889">
        <f>'ISR Enaje'!T27</f>
        <v>3.7888736487129404</v>
      </c>
      <c r="C22" s="647">
        <f t="shared" si="0"/>
        <v>210829.62180960941</v>
      </c>
      <c r="D22" s="647">
        <f t="shared" si="1"/>
        <v>41536.10815148033</v>
      </c>
      <c r="E22" s="647">
        <f t="shared" si="2"/>
        <v>29724.833153251275</v>
      </c>
      <c r="F22" s="647">
        <f t="shared" si="3"/>
        <v>92542.041305543273</v>
      </c>
      <c r="G22" s="647">
        <f t="shared" si="4"/>
        <v>266069.95363924076</v>
      </c>
      <c r="H22" s="647">
        <f t="shared" si="5"/>
        <v>133524.44039368187</v>
      </c>
      <c r="I22" s="647">
        <f t="shared" si="6"/>
        <v>132148.95567659909</v>
      </c>
      <c r="J22" s="647">
        <f t="shared" si="7"/>
        <v>91517.517257129453</v>
      </c>
      <c r="K22" s="647">
        <f t="shared" si="8"/>
        <v>79399.180038648978</v>
      </c>
      <c r="L22" s="647">
        <f t="shared" si="9"/>
        <v>70269.898074824174</v>
      </c>
      <c r="M22" s="647">
        <f t="shared" si="10"/>
        <v>88557.727634752111</v>
      </c>
      <c r="N22" s="647">
        <f t="shared" si="11"/>
        <v>89985.499914768327</v>
      </c>
      <c r="O22" s="648">
        <f t="shared" si="12"/>
        <v>1326105.7770495289</v>
      </c>
      <c r="P22" s="649"/>
      <c r="Q22" s="649"/>
      <c r="T22" s="649"/>
    </row>
    <row r="23" spans="1:20" ht="13.5" thickBot="1" x14ac:dyDescent="0.25">
      <c r="A23" s="645" t="s">
        <v>165</v>
      </c>
      <c r="B23" s="889">
        <f>'ISR Enaje'!T28</f>
        <v>4.8203192371739387</v>
      </c>
      <c r="C23" s="647">
        <f t="shared" si="0"/>
        <v>268223.79841570766</v>
      </c>
      <c r="D23" s="647">
        <f t="shared" si="1"/>
        <v>52843.488520112194</v>
      </c>
      <c r="E23" s="647">
        <f t="shared" si="2"/>
        <v>37816.828523451899</v>
      </c>
      <c r="F23" s="647">
        <f t="shared" si="3"/>
        <v>117734.77379061907</v>
      </c>
      <c r="G23" s="647">
        <f t="shared" si="4"/>
        <v>338502.21328887087</v>
      </c>
      <c r="H23" s="647">
        <f t="shared" si="5"/>
        <v>169873.81695380301</v>
      </c>
      <c r="I23" s="647">
        <f t="shared" si="6"/>
        <v>168123.88384520088</v>
      </c>
      <c r="J23" s="647">
        <f t="shared" si="7"/>
        <v>116431.3434212284</v>
      </c>
      <c r="K23" s="647">
        <f t="shared" si="8"/>
        <v>101014.0296143546</v>
      </c>
      <c r="L23" s="647">
        <f t="shared" si="9"/>
        <v>89399.481980453318</v>
      </c>
      <c r="M23" s="647">
        <f t="shared" si="10"/>
        <v>112665.80986758778</v>
      </c>
      <c r="N23" s="647">
        <f t="shared" si="11"/>
        <v>114482.26478948885</v>
      </c>
      <c r="O23" s="648">
        <f t="shared" si="12"/>
        <v>1687111.7330108786</v>
      </c>
      <c r="P23" s="649"/>
      <c r="Q23" s="649"/>
      <c r="T23" s="649"/>
    </row>
    <row r="24" spans="1:20" ht="13.5" thickBot="1" x14ac:dyDescent="0.25">
      <c r="A24" s="650" t="s">
        <v>288</v>
      </c>
      <c r="B24" s="890">
        <f>SUM(B4:B23)</f>
        <v>99.999999999999972</v>
      </c>
      <c r="C24" s="652">
        <f>'X22.55 POE'!B194</f>
        <v>5564440.5529655786</v>
      </c>
      <c r="D24" s="652">
        <f>'X22.55 POE'!C194</f>
        <v>1096265.3284991416</v>
      </c>
      <c r="E24" s="652">
        <f>'X22.55 POE'!D194</f>
        <v>784529.54384870129</v>
      </c>
      <c r="F24" s="652">
        <f>'X22.55 POE'!E194</f>
        <v>2442468.3926047338</v>
      </c>
      <c r="G24" s="652">
        <f>'X22.55 POE'!F194</f>
        <v>7022402.3894178485</v>
      </c>
      <c r="H24" s="652">
        <f>'X22.55 POE'!G194</f>
        <v>3524119.6401215279</v>
      </c>
      <c r="I24" s="652">
        <f>'X22.55 POE'!H194</f>
        <v>3487816.3783975579</v>
      </c>
      <c r="J24" s="652">
        <f>'X22.55 POE'!I194</f>
        <v>2415428.0596878035</v>
      </c>
      <c r="K24" s="652">
        <f>'X22.55 POE'!J194</f>
        <v>2095587.960966195</v>
      </c>
      <c r="L24" s="652">
        <f>'X22.55 POE'!K194</f>
        <v>1854638.2009517387</v>
      </c>
      <c r="M24" s="652">
        <f>'X22.55 POE'!L194</f>
        <v>2337310.1308045648</v>
      </c>
      <c r="N24" s="652">
        <f>'X22.55 POE'!M194</f>
        <v>2374993.4217346073</v>
      </c>
      <c r="O24" s="652">
        <f>SUM(C24:N24)</f>
        <v>35000000</v>
      </c>
      <c r="P24" s="649"/>
      <c r="Q24" s="649"/>
      <c r="T24" s="649"/>
    </row>
    <row r="25" spans="1:20" x14ac:dyDescent="0.2">
      <c r="A25" s="654" t="s">
        <v>289</v>
      </c>
    </row>
    <row r="31" spans="1:20" x14ac:dyDescent="0.2">
      <c r="C31" s="756"/>
    </row>
  </sheetData>
  <mergeCells count="1">
    <mergeCell ref="A1:O1"/>
  </mergeCells>
  <printOptions horizontalCentered="1"/>
  <pageMargins left="0.78740157480314965" right="0.78740157480314965" top="0.98425196850393704" bottom="0.98425196850393704" header="0" footer="0"/>
  <pageSetup paperSize="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7030A0"/>
  </sheetPr>
  <dimension ref="A1:O32"/>
  <sheetViews>
    <sheetView workbookViewId="0">
      <selection activeCell="C14" sqref="C14"/>
    </sheetView>
  </sheetViews>
  <sheetFormatPr baseColWidth="10" defaultRowHeight="12.75" x14ac:dyDescent="0.2"/>
  <cols>
    <col min="1" max="1" width="15.42578125" style="640" customWidth="1"/>
    <col min="2" max="2" width="9.28515625" style="640" customWidth="1"/>
    <col min="3" max="3" width="11.7109375" style="640" bestFit="1" customWidth="1"/>
    <col min="4" max="5" width="10.85546875" style="640" bestFit="1" customWidth="1"/>
    <col min="6" max="6" width="11.7109375" style="640" bestFit="1" customWidth="1"/>
    <col min="7" max="8" width="10.85546875" style="640" bestFit="1" customWidth="1"/>
    <col min="9" max="9" width="11.7109375" style="640" bestFit="1" customWidth="1"/>
    <col min="10" max="11" width="10.85546875" style="640" bestFit="1" customWidth="1"/>
    <col min="12" max="12" width="11.7109375" style="640" bestFit="1" customWidth="1"/>
    <col min="13" max="14" width="10.85546875" style="640" bestFit="1" customWidth="1"/>
    <col min="15" max="15" width="13" style="640" bestFit="1" customWidth="1"/>
    <col min="16" max="16384" width="11.42578125" style="640"/>
  </cols>
  <sheetData>
    <row r="1" spans="1:15" ht="15.75" x14ac:dyDescent="0.25">
      <c r="A1" s="1235" t="s">
        <v>277</v>
      </c>
      <c r="B1" s="1235"/>
      <c r="C1" s="1235"/>
      <c r="D1" s="1235"/>
      <c r="E1" s="1235"/>
      <c r="F1" s="1235"/>
      <c r="G1" s="1235"/>
      <c r="H1" s="1235"/>
      <c r="I1" s="1235"/>
      <c r="J1" s="1235"/>
      <c r="K1" s="1235"/>
      <c r="L1" s="1235"/>
      <c r="M1" s="1235"/>
      <c r="N1" s="1235"/>
      <c r="O1" s="1235"/>
    </row>
    <row r="2" spans="1:15" x14ac:dyDescent="0.2">
      <c r="A2" s="1236" t="s">
        <v>278</v>
      </c>
      <c r="B2" s="1236"/>
      <c r="C2" s="1236"/>
      <c r="D2" s="1236"/>
      <c r="E2" s="1236"/>
      <c r="F2" s="1236"/>
      <c r="G2" s="1236"/>
      <c r="H2" s="1236"/>
      <c r="I2" s="1236"/>
      <c r="J2" s="1236"/>
      <c r="K2" s="1236"/>
      <c r="L2" s="1236"/>
      <c r="M2" s="1236"/>
      <c r="N2" s="1236"/>
      <c r="O2" s="1236"/>
    </row>
    <row r="3" spans="1:15" x14ac:dyDescent="0.2">
      <c r="A3" s="1236" t="s">
        <v>279</v>
      </c>
      <c r="B3" s="1236"/>
      <c r="C3" s="1236"/>
      <c r="D3" s="1236"/>
      <c r="E3" s="1236"/>
      <c r="F3" s="1236"/>
      <c r="G3" s="1236"/>
      <c r="H3" s="1236"/>
      <c r="I3" s="1236"/>
      <c r="J3" s="1236"/>
      <c r="K3" s="1236"/>
      <c r="L3" s="1236"/>
      <c r="M3" s="1236"/>
      <c r="N3" s="1236"/>
      <c r="O3" s="1236"/>
    </row>
    <row r="4" spans="1:15" x14ac:dyDescent="0.2">
      <c r="A4" s="1237" t="s">
        <v>354</v>
      </c>
      <c r="B4" s="1237"/>
      <c r="C4" s="1237"/>
      <c r="D4" s="1237"/>
      <c r="E4" s="1237"/>
      <c r="F4" s="1237"/>
      <c r="G4" s="1237"/>
      <c r="H4" s="1237"/>
      <c r="I4" s="1237"/>
      <c r="J4" s="1237"/>
      <c r="K4" s="1237"/>
      <c r="L4" s="1237"/>
      <c r="M4" s="1237"/>
      <c r="N4" s="1237"/>
      <c r="O4" s="1237"/>
    </row>
    <row r="5" spans="1:15" ht="13.5" thickBot="1" x14ac:dyDescent="0.25"/>
    <row r="6" spans="1:15" ht="23.25" thickBot="1" x14ac:dyDescent="0.25">
      <c r="A6" s="641" t="s">
        <v>346</v>
      </c>
      <c r="B6" s="642" t="s">
        <v>281</v>
      </c>
      <c r="C6" s="641" t="s">
        <v>1</v>
      </c>
      <c r="D6" s="643" t="s">
        <v>2</v>
      </c>
      <c r="E6" s="641" t="s">
        <v>3</v>
      </c>
      <c r="F6" s="643" t="s">
        <v>4</v>
      </c>
      <c r="G6" s="641" t="s">
        <v>5</v>
      </c>
      <c r="H6" s="641" t="s">
        <v>6</v>
      </c>
      <c r="I6" s="641" t="s">
        <v>7</v>
      </c>
      <c r="J6" s="643" t="s">
        <v>8</v>
      </c>
      <c r="K6" s="641" t="s">
        <v>9</v>
      </c>
      <c r="L6" s="643" t="s">
        <v>10</v>
      </c>
      <c r="M6" s="641" t="s">
        <v>11</v>
      </c>
      <c r="N6" s="641" t="s">
        <v>12</v>
      </c>
      <c r="O6" s="644" t="s">
        <v>168</v>
      </c>
    </row>
    <row r="7" spans="1:15" x14ac:dyDescent="0.2">
      <c r="A7" s="645" t="s">
        <v>282</v>
      </c>
      <c r="B7" s="671">
        <f>FOFIR!I8</f>
        <v>0.21788802895341344</v>
      </c>
      <c r="C7" s="672">
        <f t="shared" ref="C7:C26" si="0">$C$32*B7/100</f>
        <v>6919.3068668767191</v>
      </c>
      <c r="D7" s="673">
        <f t="shared" ref="D7:D26" si="1">$D$32*B7/100</f>
        <v>1128.1502598669601</v>
      </c>
      <c r="E7" s="672">
        <f t="shared" ref="E7:E26" si="2">$E$32*B7/100</f>
        <v>1128.1502598669601</v>
      </c>
      <c r="F7" s="673">
        <f t="shared" ref="F7:F26" si="3">$F$32*B7/100</f>
        <v>14759.736020031736</v>
      </c>
      <c r="G7" s="672">
        <f t="shared" ref="G7:G26" si="4">$G$32*B7/100</f>
        <v>1128.1502598669601</v>
      </c>
      <c r="H7" s="672">
        <f t="shared" ref="H7:H26" si="5">$H$32*B7/100</f>
        <v>1128.1502598669601</v>
      </c>
      <c r="I7" s="674">
        <f t="shared" ref="I7:I26" si="6">$I$32*B7/100</f>
        <v>10892.140657578298</v>
      </c>
      <c r="J7" s="673">
        <f t="shared" ref="J7:J26" si="7">$J$32*B7/100</f>
        <v>1128.150259866959</v>
      </c>
      <c r="K7" s="672">
        <f t="shared" ref="K7:K26" si="8">$K$32*B7/100</f>
        <v>1128.150259866959</v>
      </c>
      <c r="L7" s="673">
        <f t="shared" ref="L7:L26" si="9">$L$32*B7/100</f>
        <v>9922.1103260382133</v>
      </c>
      <c r="M7" s="672">
        <f t="shared" ref="M7:M26" si="10">$M$32*B7/100</f>
        <v>1128.1502598669581</v>
      </c>
      <c r="N7" s="672">
        <f t="shared" ref="N7:N26" si="11">$N$32*B7/100</f>
        <v>1128.1502598669581</v>
      </c>
      <c r="O7" s="675">
        <f t="shared" ref="O7:O27" si="12">SUM(C7:N7)</f>
        <v>51518.495949460659</v>
      </c>
    </row>
    <row r="8" spans="1:15" x14ac:dyDescent="0.2">
      <c r="A8" s="645" t="s">
        <v>147</v>
      </c>
      <c r="B8" s="676">
        <f>FOFIR!I9</f>
        <v>4.1692121840598097E-2</v>
      </c>
      <c r="C8" s="672">
        <f t="shared" si="0"/>
        <v>1323.9854724097356</v>
      </c>
      <c r="D8" s="673">
        <f t="shared" si="1"/>
        <v>215.86765603782777</v>
      </c>
      <c r="E8" s="672">
        <f t="shared" si="2"/>
        <v>215.86765603782777</v>
      </c>
      <c r="F8" s="673">
        <f t="shared" si="3"/>
        <v>2824.2245131043824</v>
      </c>
      <c r="G8" s="672">
        <f t="shared" si="4"/>
        <v>215.86765603782777</v>
      </c>
      <c r="H8" s="672">
        <f t="shared" si="5"/>
        <v>215.86765603782777</v>
      </c>
      <c r="I8" s="672">
        <f t="shared" si="6"/>
        <v>2084.17349765361</v>
      </c>
      <c r="J8" s="673">
        <f t="shared" si="7"/>
        <v>215.86765603782754</v>
      </c>
      <c r="K8" s="672">
        <f t="shared" si="8"/>
        <v>215.86765603782754</v>
      </c>
      <c r="L8" s="673">
        <f t="shared" si="9"/>
        <v>1898.5615438170271</v>
      </c>
      <c r="M8" s="672">
        <f t="shared" si="10"/>
        <v>215.86765603782737</v>
      </c>
      <c r="N8" s="672">
        <f t="shared" si="11"/>
        <v>215.86765603782737</v>
      </c>
      <c r="O8" s="675">
        <f t="shared" si="12"/>
        <v>9857.8862752873774</v>
      </c>
    </row>
    <row r="9" spans="1:15" x14ac:dyDescent="0.2">
      <c r="A9" s="645" t="s">
        <v>148</v>
      </c>
      <c r="B9" s="676">
        <f>FOFIR!I10</f>
        <v>2.1800150526731642E-2</v>
      </c>
      <c r="C9" s="672">
        <f t="shared" si="0"/>
        <v>692.29104491468797</v>
      </c>
      <c r="D9" s="673">
        <f t="shared" si="1"/>
        <v>112.8737801705001</v>
      </c>
      <c r="E9" s="672">
        <f t="shared" si="2"/>
        <v>112.8737801705001</v>
      </c>
      <c r="F9" s="673">
        <f t="shared" si="3"/>
        <v>1476.7422906024412</v>
      </c>
      <c r="G9" s="672">
        <f t="shared" si="4"/>
        <v>112.8737801705001</v>
      </c>
      <c r="H9" s="672">
        <f t="shared" si="5"/>
        <v>112.8737801705001</v>
      </c>
      <c r="I9" s="672">
        <f t="shared" si="6"/>
        <v>1089.7813295851597</v>
      </c>
      <c r="J9" s="673">
        <f t="shared" si="7"/>
        <v>112.8737801705</v>
      </c>
      <c r="K9" s="672">
        <f t="shared" si="8"/>
        <v>112.8737801705</v>
      </c>
      <c r="L9" s="673">
        <f t="shared" si="9"/>
        <v>992.72777714979088</v>
      </c>
      <c r="M9" s="672">
        <f t="shared" si="10"/>
        <v>112.8737801704999</v>
      </c>
      <c r="N9" s="672">
        <f t="shared" si="11"/>
        <v>112.8737801704999</v>
      </c>
      <c r="O9" s="675">
        <f t="shared" si="12"/>
        <v>5154.5326836160812</v>
      </c>
    </row>
    <row r="10" spans="1:15" x14ac:dyDescent="0.2">
      <c r="A10" s="645" t="s">
        <v>283</v>
      </c>
      <c r="B10" s="676">
        <f>FOFIR!I11</f>
        <v>31.61505618590618</v>
      </c>
      <c r="C10" s="672">
        <f t="shared" si="0"/>
        <v>1003975.6493946975</v>
      </c>
      <c r="D10" s="673">
        <f t="shared" si="1"/>
        <v>163692.03036603928</v>
      </c>
      <c r="E10" s="672">
        <f t="shared" si="2"/>
        <v>163692.03036603928</v>
      </c>
      <c r="F10" s="673">
        <f t="shared" si="3"/>
        <v>2141604.042240506</v>
      </c>
      <c r="G10" s="672">
        <f t="shared" si="4"/>
        <v>163692.03036603928</v>
      </c>
      <c r="H10" s="672">
        <f t="shared" si="5"/>
        <v>163692.03036603928</v>
      </c>
      <c r="I10" s="672">
        <f t="shared" si="6"/>
        <v>1580424.7738078239</v>
      </c>
      <c r="J10" s="673">
        <f t="shared" si="7"/>
        <v>163692.03036603914</v>
      </c>
      <c r="K10" s="672">
        <f t="shared" si="8"/>
        <v>163692.03036603914</v>
      </c>
      <c r="L10" s="673">
        <f t="shared" si="9"/>
        <v>1439675.5845064234</v>
      </c>
      <c r="M10" s="672">
        <f t="shared" si="10"/>
        <v>163692.03036603902</v>
      </c>
      <c r="N10" s="672">
        <f t="shared" si="11"/>
        <v>163692.03036603902</v>
      </c>
      <c r="O10" s="675">
        <f t="shared" si="12"/>
        <v>7475216.2928777635</v>
      </c>
    </row>
    <row r="11" spans="1:15" x14ac:dyDescent="0.2">
      <c r="A11" s="645" t="s">
        <v>150</v>
      </c>
      <c r="B11" s="676">
        <f>FOFIR!I12</f>
        <v>1.444260084973245</v>
      </c>
      <c r="C11" s="672">
        <f t="shared" si="0"/>
        <v>45864.285300630203</v>
      </c>
      <c r="D11" s="673">
        <f t="shared" si="1"/>
        <v>7477.8885191825448</v>
      </c>
      <c r="E11" s="672">
        <f t="shared" si="2"/>
        <v>7477.8885191825448</v>
      </c>
      <c r="F11" s="673">
        <f t="shared" si="3"/>
        <v>97834.184378396763</v>
      </c>
      <c r="G11" s="672">
        <f t="shared" si="4"/>
        <v>7477.8885191825448</v>
      </c>
      <c r="H11" s="672">
        <f t="shared" si="5"/>
        <v>7477.8885191825448</v>
      </c>
      <c r="I11" s="672">
        <f t="shared" si="6"/>
        <v>72198.018712712423</v>
      </c>
      <c r="J11" s="673">
        <f t="shared" si="7"/>
        <v>7477.8885191825384</v>
      </c>
      <c r="K11" s="672">
        <f t="shared" si="8"/>
        <v>7477.8885191825384</v>
      </c>
      <c r="L11" s="673">
        <f t="shared" si="9"/>
        <v>65768.220362678927</v>
      </c>
      <c r="M11" s="672">
        <f t="shared" si="10"/>
        <v>7477.8885191825311</v>
      </c>
      <c r="N11" s="672">
        <f t="shared" si="11"/>
        <v>7477.8885191825311</v>
      </c>
      <c r="O11" s="675">
        <f t="shared" si="12"/>
        <v>341487.81690787862</v>
      </c>
    </row>
    <row r="12" spans="1:15" x14ac:dyDescent="0.2">
      <c r="A12" s="645" t="s">
        <v>284</v>
      </c>
      <c r="B12" s="676">
        <f>FOFIR!I13</f>
        <v>3.1957222951293461E-3</v>
      </c>
      <c r="C12" s="672">
        <f t="shared" si="0"/>
        <v>101.48415829695404</v>
      </c>
      <c r="D12" s="673">
        <f t="shared" si="1"/>
        <v>16.546365374132822</v>
      </c>
      <c r="E12" s="672">
        <f t="shared" si="2"/>
        <v>16.546365374132822</v>
      </c>
      <c r="F12" s="673">
        <f t="shared" si="3"/>
        <v>216.47824204019983</v>
      </c>
      <c r="G12" s="672">
        <f t="shared" si="4"/>
        <v>16.546365374132822</v>
      </c>
      <c r="H12" s="672">
        <f t="shared" si="5"/>
        <v>16.546365374132822</v>
      </c>
      <c r="I12" s="672">
        <f t="shared" si="6"/>
        <v>159.75295617801069</v>
      </c>
      <c r="J12" s="673">
        <f t="shared" si="7"/>
        <v>16.546365374132808</v>
      </c>
      <c r="K12" s="672">
        <f t="shared" si="8"/>
        <v>16.546365374132808</v>
      </c>
      <c r="L12" s="673">
        <f t="shared" si="9"/>
        <v>145.52570573040967</v>
      </c>
      <c r="M12" s="672">
        <f t="shared" si="10"/>
        <v>16.546365374132794</v>
      </c>
      <c r="N12" s="672">
        <f t="shared" si="11"/>
        <v>16.546365374132794</v>
      </c>
      <c r="O12" s="675">
        <f t="shared" si="12"/>
        <v>755.61198523863686</v>
      </c>
    </row>
    <row r="13" spans="1:15" x14ac:dyDescent="0.2">
      <c r="A13" s="645" t="s">
        <v>152</v>
      </c>
      <c r="B13" s="676">
        <f>FOFIR!I14</f>
        <v>8.547684762838354E-4</v>
      </c>
      <c r="C13" s="672">
        <f t="shared" si="0"/>
        <v>27.144242003332128</v>
      </c>
      <c r="D13" s="673">
        <f t="shared" si="1"/>
        <v>4.4257010505697529</v>
      </c>
      <c r="E13" s="672">
        <f t="shared" si="2"/>
        <v>4.4257010505697529</v>
      </c>
      <c r="F13" s="673">
        <f t="shared" si="3"/>
        <v>57.902020266068057</v>
      </c>
      <c r="G13" s="672">
        <f t="shared" si="4"/>
        <v>4.4257010505697529</v>
      </c>
      <c r="H13" s="672">
        <f t="shared" si="5"/>
        <v>4.4257010505697529</v>
      </c>
      <c r="I13" s="672">
        <f t="shared" si="6"/>
        <v>42.729554799626179</v>
      </c>
      <c r="J13" s="673">
        <f t="shared" si="7"/>
        <v>4.4257010505697485</v>
      </c>
      <c r="K13" s="672">
        <f t="shared" si="8"/>
        <v>4.4257010505697485</v>
      </c>
      <c r="L13" s="673">
        <f t="shared" si="9"/>
        <v>38.924153684097696</v>
      </c>
      <c r="M13" s="672">
        <f t="shared" si="10"/>
        <v>4.4257010505697449</v>
      </c>
      <c r="N13" s="672">
        <f t="shared" si="11"/>
        <v>4.4257010505697449</v>
      </c>
      <c r="O13" s="675">
        <f t="shared" si="12"/>
        <v>202.10557915768212</v>
      </c>
    </row>
    <row r="14" spans="1:15" x14ac:dyDescent="0.2">
      <c r="A14" s="645" t="s">
        <v>153</v>
      </c>
      <c r="B14" s="676">
        <f>FOFIR!I15</f>
        <v>0.21091841399511158</v>
      </c>
      <c r="C14" s="672">
        <f t="shared" si="0"/>
        <v>6697.9780271414447</v>
      </c>
      <c r="D14" s="673">
        <f t="shared" si="1"/>
        <v>1092.0639591915706</v>
      </c>
      <c r="E14" s="672">
        <f t="shared" si="2"/>
        <v>1092.0639591915706</v>
      </c>
      <c r="F14" s="673">
        <f t="shared" si="3"/>
        <v>14287.614272729161</v>
      </c>
      <c r="G14" s="672">
        <f t="shared" si="4"/>
        <v>1092.0639591915706</v>
      </c>
      <c r="H14" s="672">
        <f t="shared" si="5"/>
        <v>1092.0639591915706</v>
      </c>
      <c r="I14" s="672">
        <f t="shared" si="6"/>
        <v>10543.732225873147</v>
      </c>
      <c r="J14" s="673">
        <f t="shared" si="7"/>
        <v>1092.0639591915694</v>
      </c>
      <c r="K14" s="672">
        <f t="shared" si="8"/>
        <v>1092.0639591915694</v>
      </c>
      <c r="L14" s="673">
        <f t="shared" si="9"/>
        <v>9604.7303906721318</v>
      </c>
      <c r="M14" s="672">
        <f t="shared" si="10"/>
        <v>1092.0639591915685</v>
      </c>
      <c r="N14" s="672">
        <f t="shared" si="11"/>
        <v>1092.0639591915685</v>
      </c>
      <c r="O14" s="675">
        <f t="shared" si="12"/>
        <v>49870.566589948445</v>
      </c>
    </row>
    <row r="15" spans="1:15" x14ac:dyDescent="0.2">
      <c r="A15" s="645" t="s">
        <v>154</v>
      </c>
      <c r="B15" s="676">
        <f>FOFIR!I16</f>
        <v>4.0940440077724648E-2</v>
      </c>
      <c r="C15" s="672">
        <f t="shared" si="0"/>
        <v>1300.1148779188914</v>
      </c>
      <c r="D15" s="673">
        <f t="shared" si="1"/>
        <v>211.97570300031487</v>
      </c>
      <c r="E15" s="672">
        <f t="shared" si="2"/>
        <v>211.97570300031487</v>
      </c>
      <c r="F15" s="673">
        <f t="shared" si="3"/>
        <v>2773.3055872488626</v>
      </c>
      <c r="G15" s="672">
        <f t="shared" si="4"/>
        <v>211.97570300031487</v>
      </c>
      <c r="H15" s="672">
        <f t="shared" si="5"/>
        <v>211.97570300031487</v>
      </c>
      <c r="I15" s="672">
        <f t="shared" si="6"/>
        <v>2046.5972089043801</v>
      </c>
      <c r="J15" s="673">
        <f t="shared" si="7"/>
        <v>211.97570300031467</v>
      </c>
      <c r="K15" s="672">
        <f t="shared" si="8"/>
        <v>211.97570300031467</v>
      </c>
      <c r="L15" s="673">
        <f t="shared" si="9"/>
        <v>1864.3317175290676</v>
      </c>
      <c r="M15" s="672">
        <f t="shared" si="10"/>
        <v>211.97570300031447</v>
      </c>
      <c r="N15" s="672">
        <f t="shared" si="11"/>
        <v>211.97570300031447</v>
      </c>
      <c r="O15" s="675">
        <f t="shared" si="12"/>
        <v>9680.1550156037192</v>
      </c>
    </row>
    <row r="16" spans="1:15" x14ac:dyDescent="0.2">
      <c r="A16" s="645" t="s">
        <v>155</v>
      </c>
      <c r="B16" s="676">
        <f>FOFIR!I17</f>
        <v>5.3246166573789697E-3</v>
      </c>
      <c r="C16" s="672">
        <f t="shared" si="0"/>
        <v>169.08986132857157</v>
      </c>
      <c r="D16" s="673">
        <f t="shared" si="1"/>
        <v>27.569057807202327</v>
      </c>
      <c r="E16" s="672">
        <f t="shared" si="2"/>
        <v>27.569057807202327</v>
      </c>
      <c r="F16" s="673">
        <f t="shared" si="3"/>
        <v>360.68955531090995</v>
      </c>
      <c r="G16" s="672">
        <f t="shared" si="4"/>
        <v>27.569057807202327</v>
      </c>
      <c r="H16" s="672">
        <f t="shared" si="5"/>
        <v>27.569057807202327</v>
      </c>
      <c r="I16" s="672">
        <f t="shared" si="6"/>
        <v>266.17558503985703</v>
      </c>
      <c r="J16" s="673">
        <f t="shared" si="7"/>
        <v>27.569057807202302</v>
      </c>
      <c r="K16" s="672">
        <f t="shared" si="8"/>
        <v>27.569057807202302</v>
      </c>
      <c r="L16" s="673">
        <f t="shared" si="9"/>
        <v>242.47056697947744</v>
      </c>
      <c r="M16" s="672">
        <f t="shared" si="10"/>
        <v>27.569057807202274</v>
      </c>
      <c r="N16" s="672">
        <f t="shared" si="11"/>
        <v>27.569057807202274</v>
      </c>
      <c r="O16" s="675">
        <f t="shared" si="12"/>
        <v>1258.9780311164341</v>
      </c>
    </row>
    <row r="17" spans="1:15" x14ac:dyDescent="0.2">
      <c r="A17" s="645" t="s">
        <v>156</v>
      </c>
      <c r="B17" s="676">
        <f>FOFIR!I18</f>
        <v>4.5117432296024516E-2</v>
      </c>
      <c r="C17" s="672">
        <f t="shared" si="0"/>
        <v>1432.7604898774648</v>
      </c>
      <c r="D17" s="673">
        <f t="shared" si="1"/>
        <v>233.60275098074703</v>
      </c>
      <c r="E17" s="672">
        <f t="shared" si="2"/>
        <v>233.60275098074703</v>
      </c>
      <c r="F17" s="673">
        <f t="shared" si="3"/>
        <v>3056.2550581122409</v>
      </c>
      <c r="G17" s="672">
        <f t="shared" si="4"/>
        <v>233.60275098074703</v>
      </c>
      <c r="H17" s="672">
        <f t="shared" si="5"/>
        <v>233.60275098074703</v>
      </c>
      <c r="I17" s="672">
        <f t="shared" si="6"/>
        <v>2255.4034796566834</v>
      </c>
      <c r="J17" s="673">
        <f t="shared" si="7"/>
        <v>233.60275098074683</v>
      </c>
      <c r="K17" s="672">
        <f t="shared" si="8"/>
        <v>233.60275098074683</v>
      </c>
      <c r="L17" s="673">
        <f t="shared" si="9"/>
        <v>2054.5421564414119</v>
      </c>
      <c r="M17" s="672">
        <f t="shared" si="10"/>
        <v>233.60275098074661</v>
      </c>
      <c r="N17" s="672">
        <f t="shared" si="11"/>
        <v>233.60275098074661</v>
      </c>
      <c r="O17" s="675">
        <f t="shared" si="12"/>
        <v>10667.783191933777</v>
      </c>
    </row>
    <row r="18" spans="1:15" x14ac:dyDescent="0.2">
      <c r="A18" s="645" t="s">
        <v>157</v>
      </c>
      <c r="B18" s="676">
        <f>FOFIR!I19</f>
        <v>4.5404311838344522E-2</v>
      </c>
      <c r="C18" s="672">
        <f t="shared" si="0"/>
        <v>1441.8707085373694</v>
      </c>
      <c r="D18" s="673">
        <f t="shared" si="1"/>
        <v>235.088115880202</v>
      </c>
      <c r="E18" s="672">
        <f t="shared" si="2"/>
        <v>235.088115880202</v>
      </c>
      <c r="F18" s="673">
        <f t="shared" si="3"/>
        <v>3075.6882795449619</v>
      </c>
      <c r="G18" s="672">
        <f t="shared" si="4"/>
        <v>235.088115880202</v>
      </c>
      <c r="H18" s="672">
        <f t="shared" si="5"/>
        <v>235.088115880202</v>
      </c>
      <c r="I18" s="672">
        <f t="shared" si="6"/>
        <v>2269.7444801317451</v>
      </c>
      <c r="J18" s="673">
        <f t="shared" si="7"/>
        <v>235.0881158802018</v>
      </c>
      <c r="K18" s="672">
        <f t="shared" si="8"/>
        <v>235.0881158802018</v>
      </c>
      <c r="L18" s="673">
        <f t="shared" si="9"/>
        <v>2067.6059786387805</v>
      </c>
      <c r="M18" s="672">
        <f t="shared" si="10"/>
        <v>235.0881158802016</v>
      </c>
      <c r="N18" s="672">
        <f t="shared" si="11"/>
        <v>235.0881158802016</v>
      </c>
      <c r="O18" s="675">
        <f t="shared" si="12"/>
        <v>10735.614373894474</v>
      </c>
    </row>
    <row r="19" spans="1:15" x14ac:dyDescent="0.2">
      <c r="A19" s="645" t="s">
        <v>158</v>
      </c>
      <c r="B19" s="676">
        <f>FOFIR!I20</f>
        <v>0.11729337538286799</v>
      </c>
      <c r="C19" s="672">
        <f t="shared" si="0"/>
        <v>3724.7978313638914</v>
      </c>
      <c r="D19" s="673">
        <f t="shared" si="1"/>
        <v>607.30528682302088</v>
      </c>
      <c r="E19" s="672">
        <f t="shared" si="2"/>
        <v>607.30528682302088</v>
      </c>
      <c r="F19" s="673">
        <f t="shared" si="3"/>
        <v>7945.4537537708038</v>
      </c>
      <c r="G19" s="672">
        <f t="shared" si="4"/>
        <v>607.30528682302088</v>
      </c>
      <c r="H19" s="672">
        <f t="shared" si="5"/>
        <v>607.30528682302088</v>
      </c>
      <c r="I19" s="672">
        <f t="shared" si="6"/>
        <v>5863.4517417452425</v>
      </c>
      <c r="J19" s="673">
        <f t="shared" si="7"/>
        <v>607.30528682302031</v>
      </c>
      <c r="K19" s="672">
        <f t="shared" si="8"/>
        <v>607.30528682302031</v>
      </c>
      <c r="L19" s="673">
        <f t="shared" si="9"/>
        <v>5341.2654961005783</v>
      </c>
      <c r="M19" s="672">
        <f t="shared" si="10"/>
        <v>607.30528682301974</v>
      </c>
      <c r="N19" s="672">
        <f t="shared" si="11"/>
        <v>607.30528682301974</v>
      </c>
      <c r="O19" s="675">
        <f t="shared" si="12"/>
        <v>27733.411117564672</v>
      </c>
    </row>
    <row r="20" spans="1:15" x14ac:dyDescent="0.2">
      <c r="A20" s="645" t="s">
        <v>285</v>
      </c>
      <c r="B20" s="676">
        <f>FOFIR!I21</f>
        <v>7.9584142354513394E-3</v>
      </c>
      <c r="C20" s="672">
        <f t="shared" si="0"/>
        <v>252.72939744928198</v>
      </c>
      <c r="D20" s="673">
        <f t="shared" si="1"/>
        <v>41.205967721030639</v>
      </c>
      <c r="E20" s="672">
        <f t="shared" si="2"/>
        <v>41.205967721030639</v>
      </c>
      <c r="F20" s="673">
        <f t="shared" si="3"/>
        <v>539.1030145967286</v>
      </c>
      <c r="G20" s="672">
        <f t="shared" si="4"/>
        <v>41.205967721030639</v>
      </c>
      <c r="H20" s="672">
        <f t="shared" si="5"/>
        <v>41.205967721030639</v>
      </c>
      <c r="I20" s="672">
        <f t="shared" si="6"/>
        <v>397.83813585437201</v>
      </c>
      <c r="J20" s="673">
        <f t="shared" si="7"/>
        <v>41.205967721030603</v>
      </c>
      <c r="K20" s="672">
        <f t="shared" si="8"/>
        <v>41.205967721030603</v>
      </c>
      <c r="L20" s="673">
        <f t="shared" si="9"/>
        <v>362.40753768691246</v>
      </c>
      <c r="M20" s="672">
        <f t="shared" si="10"/>
        <v>41.205967721030568</v>
      </c>
      <c r="N20" s="672">
        <f t="shared" si="11"/>
        <v>41.205967721030568</v>
      </c>
      <c r="O20" s="675">
        <f t="shared" si="12"/>
        <v>1881.7258273555403</v>
      </c>
    </row>
    <row r="21" spans="1:15" x14ac:dyDescent="0.2">
      <c r="A21" s="645" t="s">
        <v>286</v>
      </c>
      <c r="B21" s="676">
        <f>FOFIR!I22</f>
        <v>4.5830385932006529E-2</v>
      </c>
      <c r="C21" s="672">
        <f t="shared" si="0"/>
        <v>1455.4012242625092</v>
      </c>
      <c r="D21" s="673">
        <f t="shared" si="1"/>
        <v>237.29418292205014</v>
      </c>
      <c r="E21" s="672">
        <f t="shared" si="2"/>
        <v>237.29418292205014</v>
      </c>
      <c r="F21" s="673">
        <f t="shared" si="3"/>
        <v>3104.5505404852825</v>
      </c>
      <c r="G21" s="672">
        <f t="shared" si="4"/>
        <v>237.29418292205014</v>
      </c>
      <c r="H21" s="672">
        <f t="shared" si="5"/>
        <v>237.29418292205014</v>
      </c>
      <c r="I21" s="672">
        <f t="shared" si="6"/>
        <v>2291.0437639015249</v>
      </c>
      <c r="J21" s="673">
        <f t="shared" si="7"/>
        <v>237.29418292204991</v>
      </c>
      <c r="K21" s="672">
        <f t="shared" si="8"/>
        <v>237.29418292204991</v>
      </c>
      <c r="L21" s="673">
        <f t="shared" si="9"/>
        <v>2087.0083945708875</v>
      </c>
      <c r="M21" s="672">
        <f t="shared" si="10"/>
        <v>237.29418292204969</v>
      </c>
      <c r="N21" s="672">
        <f t="shared" si="11"/>
        <v>237.29418292204969</v>
      </c>
      <c r="O21" s="675">
        <f t="shared" si="12"/>
        <v>10836.357386596603</v>
      </c>
    </row>
    <row r="22" spans="1:15" x14ac:dyDescent="0.2">
      <c r="A22" s="645" t="s">
        <v>287</v>
      </c>
      <c r="B22" s="676">
        <f>FOFIR!I23</f>
        <v>0.87340303822295473</v>
      </c>
      <c r="C22" s="672">
        <f t="shared" si="0"/>
        <v>27736.00582351959</v>
      </c>
      <c r="D22" s="673">
        <f t="shared" si="1"/>
        <v>4522.1844874758672</v>
      </c>
      <c r="E22" s="672">
        <f t="shared" si="2"/>
        <v>4522.1844874758672</v>
      </c>
      <c r="F22" s="673">
        <f t="shared" si="3"/>
        <v>59164.325572107329</v>
      </c>
      <c r="G22" s="672">
        <f t="shared" si="4"/>
        <v>4522.1844874758672</v>
      </c>
      <c r="H22" s="672">
        <f t="shared" si="5"/>
        <v>4522.1844874758672</v>
      </c>
      <c r="I22" s="672">
        <f t="shared" si="6"/>
        <v>43661.089545744064</v>
      </c>
      <c r="J22" s="673">
        <f t="shared" si="7"/>
        <v>4522.1844874758635</v>
      </c>
      <c r="K22" s="672">
        <f t="shared" si="8"/>
        <v>4522.1844874758635</v>
      </c>
      <c r="L22" s="673">
        <f t="shared" si="9"/>
        <v>39772.72797395401</v>
      </c>
      <c r="M22" s="672">
        <f t="shared" si="10"/>
        <v>4522.184487475859</v>
      </c>
      <c r="N22" s="672">
        <f t="shared" si="11"/>
        <v>4522.184487475859</v>
      </c>
      <c r="O22" s="675">
        <f t="shared" si="12"/>
        <v>206511.62481513195</v>
      </c>
    </row>
    <row r="23" spans="1:15" x14ac:dyDescent="0.2">
      <c r="A23" s="645" t="s">
        <v>162</v>
      </c>
      <c r="B23" s="676">
        <f>FOFIR!I24</f>
        <v>0.1076959029325731</v>
      </c>
      <c r="C23" s="672">
        <f t="shared" si="0"/>
        <v>3420.0180903704832</v>
      </c>
      <c r="D23" s="673">
        <f t="shared" si="1"/>
        <v>557.61283198337856</v>
      </c>
      <c r="E23" s="672">
        <f t="shared" si="2"/>
        <v>557.61283198337856</v>
      </c>
      <c r="F23" s="673">
        <f t="shared" si="3"/>
        <v>7295.3209286390156</v>
      </c>
      <c r="G23" s="672">
        <f t="shared" si="4"/>
        <v>557.61283198337856</v>
      </c>
      <c r="H23" s="672">
        <f t="shared" si="5"/>
        <v>557.61283198337856</v>
      </c>
      <c r="I23" s="672">
        <f t="shared" si="6"/>
        <v>5383.6777018956482</v>
      </c>
      <c r="J23" s="673">
        <f t="shared" si="7"/>
        <v>557.6128319833781</v>
      </c>
      <c r="K23" s="672">
        <f t="shared" si="8"/>
        <v>557.6128319833781</v>
      </c>
      <c r="L23" s="673">
        <f t="shared" si="9"/>
        <v>4904.2190876294699</v>
      </c>
      <c r="M23" s="672">
        <f t="shared" si="10"/>
        <v>557.61283198337753</v>
      </c>
      <c r="N23" s="672">
        <f t="shared" si="11"/>
        <v>557.61283198337753</v>
      </c>
      <c r="O23" s="675">
        <f t="shared" si="12"/>
        <v>25464.13846440164</v>
      </c>
    </row>
    <row r="24" spans="1:15" x14ac:dyDescent="0.2">
      <c r="A24" s="645" t="s">
        <v>163</v>
      </c>
      <c r="B24" s="676">
        <f>FOFIR!I25</f>
        <v>63.622656373423837</v>
      </c>
      <c r="C24" s="672">
        <f t="shared" si="0"/>
        <v>2020417.024506168</v>
      </c>
      <c r="D24" s="673">
        <f t="shared" si="1"/>
        <v>329416.52033784194</v>
      </c>
      <c r="E24" s="672">
        <f t="shared" si="2"/>
        <v>329416.52033784194</v>
      </c>
      <c r="F24" s="673">
        <f t="shared" si="3"/>
        <v>4309799.0168413715</v>
      </c>
      <c r="G24" s="672">
        <f t="shared" si="4"/>
        <v>329416.52033784194</v>
      </c>
      <c r="H24" s="672">
        <f t="shared" si="5"/>
        <v>329416.52033784194</v>
      </c>
      <c r="I24" s="672">
        <f t="shared" si="6"/>
        <v>3180472.6746886591</v>
      </c>
      <c r="J24" s="673">
        <f t="shared" si="7"/>
        <v>329416.52033784165</v>
      </c>
      <c r="K24" s="672">
        <f t="shared" si="8"/>
        <v>329416.52033784165</v>
      </c>
      <c r="L24" s="673">
        <f t="shared" si="9"/>
        <v>2897226.7031141091</v>
      </c>
      <c r="M24" s="672">
        <f t="shared" si="10"/>
        <v>329416.5203378413</v>
      </c>
      <c r="N24" s="672">
        <f t="shared" si="11"/>
        <v>329416.5203378413</v>
      </c>
      <c r="O24" s="675">
        <f t="shared" si="12"/>
        <v>15043247.581853043</v>
      </c>
    </row>
    <row r="25" spans="1:15" x14ac:dyDescent="0.2">
      <c r="A25" s="645" t="s">
        <v>164</v>
      </c>
      <c r="B25" s="676">
        <f>FOFIR!I26</f>
        <v>6.5755564242799422E-2</v>
      </c>
      <c r="C25" s="672">
        <f t="shared" si="0"/>
        <v>2088.15018147617</v>
      </c>
      <c r="D25" s="673">
        <f t="shared" si="1"/>
        <v>340.45999334857277</v>
      </c>
      <c r="E25" s="672">
        <f t="shared" si="2"/>
        <v>340.45999334857277</v>
      </c>
      <c r="F25" s="673">
        <f t="shared" si="3"/>
        <v>4454.2822051020858</v>
      </c>
      <c r="G25" s="672">
        <f t="shared" si="4"/>
        <v>340.45999334857277</v>
      </c>
      <c r="H25" s="672">
        <f t="shared" si="5"/>
        <v>340.45999334857277</v>
      </c>
      <c r="I25" s="672">
        <f t="shared" si="6"/>
        <v>3287.09593726295</v>
      </c>
      <c r="J25" s="673">
        <f t="shared" si="7"/>
        <v>340.45999334857237</v>
      </c>
      <c r="K25" s="672">
        <f t="shared" si="8"/>
        <v>340.45999334857237</v>
      </c>
      <c r="L25" s="673">
        <f t="shared" si="9"/>
        <v>2994.3543300740303</v>
      </c>
      <c r="M25" s="672">
        <f t="shared" si="10"/>
        <v>340.45999334857208</v>
      </c>
      <c r="N25" s="672">
        <f t="shared" si="11"/>
        <v>340.45999334857208</v>
      </c>
      <c r="O25" s="675">
        <f t="shared" si="12"/>
        <v>15547.562600703812</v>
      </c>
    </row>
    <row r="26" spans="1:15" ht="13.5" thickBot="1" x14ac:dyDescent="0.25">
      <c r="A26" s="645" t="s">
        <v>165</v>
      </c>
      <c r="B26" s="677">
        <f>FOFIR!I27</f>
        <v>1.4669546677913303</v>
      </c>
      <c r="C26" s="672">
        <f t="shared" si="0"/>
        <v>46584.980161602369</v>
      </c>
      <c r="D26" s="673">
        <f t="shared" si="1"/>
        <v>7595.3933661756282</v>
      </c>
      <c r="E26" s="672">
        <f t="shared" si="2"/>
        <v>7595.3933661756282</v>
      </c>
      <c r="F26" s="673">
        <f t="shared" si="3"/>
        <v>99371.515516268977</v>
      </c>
      <c r="G26" s="672">
        <f t="shared" si="4"/>
        <v>7595.3933661756282</v>
      </c>
      <c r="H26" s="672">
        <f t="shared" si="5"/>
        <v>7595.3933661756282</v>
      </c>
      <c r="I26" s="678">
        <f t="shared" si="6"/>
        <v>73332.512376301878</v>
      </c>
      <c r="J26" s="673">
        <f t="shared" si="7"/>
        <v>7595.3933661756209</v>
      </c>
      <c r="K26" s="672">
        <f t="shared" si="8"/>
        <v>7595.3933661756209</v>
      </c>
      <c r="L26" s="673">
        <f t="shared" si="9"/>
        <v>66801.678490718623</v>
      </c>
      <c r="M26" s="672">
        <f t="shared" si="10"/>
        <v>7595.3933661756137</v>
      </c>
      <c r="N26" s="672">
        <f t="shared" si="11"/>
        <v>7595.3933661756137</v>
      </c>
      <c r="O26" s="675">
        <f t="shared" si="12"/>
        <v>346853.83347429673</v>
      </c>
    </row>
    <row r="27" spans="1:15" ht="13.5" thickBot="1" x14ac:dyDescent="0.25">
      <c r="A27" s="650" t="s">
        <v>288</v>
      </c>
      <c r="B27" s="679">
        <f t="shared" ref="B27:N27" si="13">SUM(B7:B26)</f>
        <v>100</v>
      </c>
      <c r="C27" s="680">
        <f t="shared" si="13"/>
        <v>3175625.0676608449</v>
      </c>
      <c r="D27" s="680">
        <f t="shared" si="13"/>
        <v>517766.05868887343</v>
      </c>
      <c r="E27" s="680">
        <f t="shared" si="13"/>
        <v>517766.05868887343</v>
      </c>
      <c r="F27" s="680">
        <f t="shared" si="13"/>
        <v>6774000.4308302356</v>
      </c>
      <c r="G27" s="680">
        <f t="shared" si="13"/>
        <v>517766.05868887343</v>
      </c>
      <c r="H27" s="680">
        <f t="shared" si="13"/>
        <v>517766.05868887343</v>
      </c>
      <c r="I27" s="680">
        <f t="shared" si="13"/>
        <v>4998962.4073873023</v>
      </c>
      <c r="J27" s="680">
        <f t="shared" si="13"/>
        <v>517766.05868887302</v>
      </c>
      <c r="K27" s="680">
        <f t="shared" si="13"/>
        <v>517766.05868887302</v>
      </c>
      <c r="L27" s="680">
        <f t="shared" si="13"/>
        <v>4553765.6996106263</v>
      </c>
      <c r="M27" s="680">
        <f t="shared" si="13"/>
        <v>517766.05868887249</v>
      </c>
      <c r="N27" s="680">
        <f t="shared" si="13"/>
        <v>517766.05868887249</v>
      </c>
      <c r="O27" s="680">
        <f t="shared" si="12"/>
        <v>23644482.074999988</v>
      </c>
    </row>
    <row r="28" spans="1:15" x14ac:dyDescent="0.2">
      <c r="A28" s="653"/>
      <c r="B28" s="653"/>
      <c r="C28" s="653"/>
      <c r="D28" s="653"/>
      <c r="E28" s="653"/>
      <c r="F28" s="653"/>
      <c r="G28" s="653"/>
      <c r="H28" s="653"/>
      <c r="I28" s="653"/>
      <c r="J28" s="653"/>
      <c r="K28" s="653"/>
      <c r="L28" s="653"/>
      <c r="M28" s="653"/>
      <c r="N28" s="653"/>
      <c r="O28" s="653"/>
    </row>
    <row r="29" spans="1:15" x14ac:dyDescent="0.2">
      <c r="A29" s="654" t="s">
        <v>289</v>
      </c>
    </row>
    <row r="32" spans="1:15" x14ac:dyDescent="0.2">
      <c r="C32" s="649">
        <f>'FOFIR ESTIMACIONES'!C33</f>
        <v>3175625.0676608458</v>
      </c>
      <c r="D32" s="649">
        <f>'FOFIR ESTIMACIONES'!D33</f>
        <v>517766.05868887343</v>
      </c>
      <c r="E32" s="649">
        <f>'FOFIR ESTIMACIONES'!E33</f>
        <v>517766.05868887343</v>
      </c>
      <c r="F32" s="649">
        <f>'FOFIR ESTIMACIONES'!F33</f>
        <v>6774000.4308302365</v>
      </c>
      <c r="G32" s="649">
        <f>'FOFIR ESTIMACIONES'!G33</f>
        <v>517766.05868887343</v>
      </c>
      <c r="H32" s="649">
        <f>'FOFIR ESTIMACIONES'!H33</f>
        <v>517766.05868887343</v>
      </c>
      <c r="I32" s="649">
        <f>'FOFIR ESTIMACIONES'!I33</f>
        <v>4998962.4073873023</v>
      </c>
      <c r="J32" s="649">
        <f>'FOFIR ESTIMACIONES'!J33</f>
        <v>517766.05868887296</v>
      </c>
      <c r="K32" s="649">
        <f>'FOFIR ESTIMACIONES'!K33</f>
        <v>517766.05868887296</v>
      </c>
      <c r="L32" s="649">
        <f>'FOFIR ESTIMACIONES'!L33</f>
        <v>4553765.6996106273</v>
      </c>
      <c r="M32" s="649">
        <f>'FOFIR ESTIMACIONES'!M33</f>
        <v>517766.05868887249</v>
      </c>
      <c r="N32" s="649">
        <f>'FOFIR ESTIMACIONES'!N33</f>
        <v>517766.05868887249</v>
      </c>
      <c r="O32" s="649">
        <f>'FOFIR ESTIMACIONES'!O33</f>
        <v>23644482.074999996</v>
      </c>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AB63"/>
  <sheetViews>
    <sheetView topLeftCell="E1" zoomScaleNormal="100" workbookViewId="0">
      <selection sqref="A1:T1"/>
    </sheetView>
  </sheetViews>
  <sheetFormatPr baseColWidth="10" defaultRowHeight="15" x14ac:dyDescent="0.25"/>
  <cols>
    <col min="1" max="1" width="22.5703125" customWidth="1"/>
    <col min="2" max="2" width="10.7109375" customWidth="1"/>
    <col min="3" max="3" width="14.5703125" bestFit="1" customWidth="1"/>
    <col min="4" max="4" width="11.42578125" bestFit="1" customWidth="1"/>
    <col min="5" max="5" width="14.28515625" customWidth="1"/>
    <col min="6" max="6" width="13.42578125" bestFit="1" customWidth="1"/>
    <col min="7" max="7" width="14.85546875" style="9" customWidth="1"/>
    <col min="8" max="9" width="14.5703125" style="9" bestFit="1" customWidth="1"/>
    <col min="10" max="10" width="12.140625" bestFit="1" customWidth="1"/>
    <col min="11" max="11" width="16.42578125" customWidth="1"/>
    <col min="12" max="12" width="13.42578125" bestFit="1" customWidth="1"/>
    <col min="13" max="13" width="14.42578125" customWidth="1"/>
    <col min="14" max="14" width="14.85546875" customWidth="1"/>
    <col min="15" max="15" width="15.42578125" customWidth="1"/>
    <col min="16" max="16" width="12.42578125" customWidth="1"/>
    <col min="17" max="17" width="13.42578125" customWidth="1"/>
    <col min="18" max="18" width="12.5703125" customWidth="1"/>
    <col min="19" max="19" width="14.85546875" customWidth="1"/>
    <col min="20" max="20" width="16.5703125" bestFit="1" customWidth="1"/>
    <col min="21" max="21" width="14.85546875" hidden="1" customWidth="1"/>
    <col min="22" max="22" width="11.42578125" customWidth="1"/>
    <col min="23" max="24" width="11.42578125" hidden="1" customWidth="1"/>
    <col min="25" max="26" width="17.85546875" bestFit="1" customWidth="1"/>
    <col min="27" max="27" width="12.140625" bestFit="1" customWidth="1"/>
  </cols>
  <sheetData>
    <row r="1" spans="1:28" x14ac:dyDescent="0.25">
      <c r="A1" s="980" t="s">
        <v>454</v>
      </c>
      <c r="B1" s="980"/>
      <c r="C1" s="980"/>
      <c r="D1" s="980"/>
      <c r="E1" s="980"/>
      <c r="F1" s="980"/>
      <c r="G1" s="980"/>
      <c r="H1" s="980"/>
      <c r="I1" s="980"/>
      <c r="J1" s="980"/>
      <c r="K1" s="980"/>
      <c r="L1" s="980"/>
      <c r="M1" s="980"/>
      <c r="N1" s="980"/>
      <c r="O1" s="980"/>
      <c r="P1" s="980"/>
      <c r="Q1" s="980"/>
      <c r="R1" s="980"/>
      <c r="S1" s="980"/>
      <c r="T1" s="980"/>
    </row>
    <row r="2" spans="1:28" ht="15.75" thickBot="1" x14ac:dyDescent="0.3">
      <c r="A2" s="12"/>
      <c r="B2" s="12"/>
      <c r="C2" s="12"/>
      <c r="D2" s="12"/>
      <c r="E2" s="12"/>
      <c r="F2" s="12"/>
      <c r="G2" s="12"/>
      <c r="H2" s="12"/>
      <c r="I2" s="12"/>
      <c r="J2" s="9"/>
    </row>
    <row r="3" spans="1:28" ht="33.75" customHeight="1" x14ac:dyDescent="0.25">
      <c r="A3" s="1007" t="s">
        <v>83</v>
      </c>
      <c r="B3" s="1005" t="s">
        <v>242</v>
      </c>
      <c r="C3" s="1021" t="s">
        <v>198</v>
      </c>
      <c r="D3" s="1025" t="s">
        <v>66</v>
      </c>
      <c r="E3" s="1026"/>
      <c r="F3" s="1026"/>
      <c r="G3" s="1027"/>
      <c r="H3" s="1025" t="s">
        <v>67</v>
      </c>
      <c r="I3" s="1026"/>
      <c r="J3" s="1026"/>
      <c r="K3" s="1026"/>
      <c r="L3" s="1026"/>
      <c r="M3" s="1027"/>
      <c r="N3" s="1028" t="s">
        <v>68</v>
      </c>
      <c r="O3" s="1029"/>
      <c r="P3" s="1029"/>
      <c r="Q3" s="1029"/>
      <c r="R3" s="1029"/>
      <c r="S3" s="1030"/>
      <c r="T3" s="1005" t="s">
        <v>258</v>
      </c>
      <c r="U3" s="1023" t="s">
        <v>305</v>
      </c>
    </row>
    <row r="4" spans="1:28" ht="15" customHeight="1" x14ac:dyDescent="0.25">
      <c r="A4" s="1008"/>
      <c r="B4" s="1006"/>
      <c r="C4" s="1022"/>
      <c r="D4" s="499" t="s">
        <v>69</v>
      </c>
      <c r="E4" s="1013" t="s">
        <v>244</v>
      </c>
      <c r="F4" s="500" t="s">
        <v>138</v>
      </c>
      <c r="G4" s="1017" t="s">
        <v>524</v>
      </c>
      <c r="H4" s="1009" t="s">
        <v>257</v>
      </c>
      <c r="I4" s="1010"/>
      <c r="J4" s="1010"/>
      <c r="K4" s="1013" t="s">
        <v>201</v>
      </c>
      <c r="L4" s="500" t="s">
        <v>22</v>
      </c>
      <c r="M4" s="1017" t="s">
        <v>247</v>
      </c>
      <c r="N4" s="1015" t="s">
        <v>245</v>
      </c>
      <c r="O4" s="1019" t="s">
        <v>250</v>
      </c>
      <c r="P4" s="1019" t="s">
        <v>252</v>
      </c>
      <c r="Q4" s="1019" t="s">
        <v>253</v>
      </c>
      <c r="R4" s="1019" t="s">
        <v>203</v>
      </c>
      <c r="S4" s="1017" t="s">
        <v>256</v>
      </c>
      <c r="T4" s="1006"/>
      <c r="U4" s="1023"/>
    </row>
    <row r="5" spans="1:28" x14ac:dyDescent="0.25">
      <c r="A5" s="1008"/>
      <c r="B5" s="1006"/>
      <c r="C5" s="1022"/>
      <c r="D5" s="501" t="s">
        <v>371</v>
      </c>
      <c r="E5" s="1024"/>
      <c r="F5" s="502" t="s">
        <v>142</v>
      </c>
      <c r="G5" s="1018"/>
      <c r="H5" s="1011"/>
      <c r="I5" s="1012"/>
      <c r="J5" s="1012"/>
      <c r="K5" s="1014"/>
      <c r="L5" s="502" t="s">
        <v>202</v>
      </c>
      <c r="M5" s="1018"/>
      <c r="N5" s="1016"/>
      <c r="O5" s="1020"/>
      <c r="P5" s="1020"/>
      <c r="Q5" s="1020"/>
      <c r="R5" s="1024"/>
      <c r="S5" s="1018"/>
      <c r="T5" s="1006"/>
      <c r="U5" s="1023"/>
    </row>
    <row r="6" spans="1:28" x14ac:dyDescent="0.25">
      <c r="A6" s="1008"/>
      <c r="B6" s="1006"/>
      <c r="C6" s="1022"/>
      <c r="D6" s="501" t="s">
        <v>38</v>
      </c>
      <c r="E6" s="502" t="s">
        <v>37</v>
      </c>
      <c r="F6" s="503">
        <v>0.6</v>
      </c>
      <c r="G6" s="1018"/>
      <c r="H6" s="507">
        <v>2019</v>
      </c>
      <c r="I6" s="598">
        <v>2020</v>
      </c>
      <c r="J6" s="508" t="s">
        <v>200</v>
      </c>
      <c r="K6" s="1014"/>
      <c r="L6" s="503">
        <v>0.3</v>
      </c>
      <c r="M6" s="1018"/>
      <c r="N6" s="1016"/>
      <c r="O6" s="1020"/>
      <c r="P6" s="1020"/>
      <c r="Q6" s="1020"/>
      <c r="R6" s="1024"/>
      <c r="S6" s="1018"/>
      <c r="T6" s="1006"/>
      <c r="U6" s="1023"/>
    </row>
    <row r="7" spans="1:28" ht="15.75" thickBot="1" x14ac:dyDescent="0.3">
      <c r="A7" s="1008"/>
      <c r="B7" s="347" t="s">
        <v>70</v>
      </c>
      <c r="C7" s="347" t="s">
        <v>97</v>
      </c>
      <c r="D7" s="504" t="s">
        <v>71</v>
      </c>
      <c r="E7" s="505" t="s">
        <v>72</v>
      </c>
      <c r="F7" s="505" t="s">
        <v>73</v>
      </c>
      <c r="G7" s="506" t="s">
        <v>100</v>
      </c>
      <c r="H7" s="504" t="s">
        <v>74</v>
      </c>
      <c r="I7" s="505" t="s">
        <v>75</v>
      </c>
      <c r="J7" s="505" t="s">
        <v>199</v>
      </c>
      <c r="K7" s="509" t="s">
        <v>77</v>
      </c>
      <c r="L7" s="505" t="s">
        <v>78</v>
      </c>
      <c r="M7" s="506" t="s">
        <v>246</v>
      </c>
      <c r="N7" s="504" t="s">
        <v>248</v>
      </c>
      <c r="O7" s="505" t="s">
        <v>249</v>
      </c>
      <c r="P7" s="505" t="s">
        <v>251</v>
      </c>
      <c r="Q7" s="505" t="s">
        <v>254</v>
      </c>
      <c r="R7" s="510" t="s">
        <v>79</v>
      </c>
      <c r="S7" s="511" t="s">
        <v>255</v>
      </c>
      <c r="T7" s="346" t="s">
        <v>259</v>
      </c>
      <c r="U7" s="1023"/>
      <c r="W7" s="78"/>
    </row>
    <row r="8" spans="1:28" s="5" customFormat="1" ht="16.5" customHeight="1" x14ac:dyDescent="0.25">
      <c r="A8" s="79" t="s">
        <v>45</v>
      </c>
      <c r="B8" s="80">
        <v>3.62</v>
      </c>
      <c r="C8" s="81">
        <f>$C$28*B8/100</f>
        <v>35350314.18282</v>
      </c>
      <c r="D8" s="82">
        <f>'CENSO 2020'!C10</f>
        <v>37232</v>
      </c>
      <c r="E8" s="83">
        <f>D8/$D$28*100</f>
        <v>3.0136241193535018</v>
      </c>
      <c r="F8" s="84">
        <f>E8*0.6</f>
        <v>1.8081744716121011</v>
      </c>
      <c r="G8" s="85">
        <f>Datos!$I$12*FGP!F8/100</f>
        <v>10354124.577325813</v>
      </c>
      <c r="H8" s="86">
        <f>'Predial y Agua'!D9</f>
        <v>11337932</v>
      </c>
      <c r="I8" s="87">
        <f>'Predial y Agua'!G9</f>
        <v>10441632</v>
      </c>
      <c r="J8" s="83">
        <f>I8/H8</f>
        <v>0.92094678288774356</v>
      </c>
      <c r="K8" s="83">
        <f>J8/$J$28*100</f>
        <v>4.5362651544424901</v>
      </c>
      <c r="L8" s="83">
        <f>K8*0.3</f>
        <v>1.360879546332747</v>
      </c>
      <c r="M8" s="88">
        <f>Datos!$I$12*FGP!L8/100</f>
        <v>7792785.8061734177</v>
      </c>
      <c r="N8" s="89">
        <f>G8+M8</f>
        <v>18146910.383499231</v>
      </c>
      <c r="O8" s="83">
        <f>L8+F8</f>
        <v>3.1690540179448483</v>
      </c>
      <c r="P8" s="83">
        <f>MINVERSE(O8)</f>
        <v>0.31555157922126753</v>
      </c>
      <c r="Q8" s="83">
        <f>P8/P$28*100</f>
        <v>4.9985851648979605</v>
      </c>
      <c r="R8" s="83">
        <f>Q8*0.1</f>
        <v>0.49985851648979607</v>
      </c>
      <c r="S8" s="90">
        <f>Datos!$I$12*FGP!R8/100</f>
        <v>2862332.9396738182</v>
      </c>
      <c r="T8" s="91">
        <f>C8+G8+M8+S8</f>
        <v>56359557.505993046</v>
      </c>
      <c r="U8" s="92">
        <f>R8+L8+F8</f>
        <v>3.6689125344346443</v>
      </c>
      <c r="V8" s="93"/>
      <c r="W8" s="94">
        <v>0.97425313870244945</v>
      </c>
      <c r="X8" s="94">
        <f t="shared" ref="X8:X27" si="0">J8-W8</f>
        <v>-5.3306355814705886E-2</v>
      </c>
      <c r="Y8" s="95"/>
      <c r="Z8" s="95"/>
      <c r="AA8" s="93"/>
      <c r="AB8" s="93"/>
    </row>
    <row r="9" spans="1:28" s="5" customFormat="1" ht="16.5" customHeight="1" x14ac:dyDescent="0.25">
      <c r="A9" s="79" t="s">
        <v>46</v>
      </c>
      <c r="B9" s="96">
        <v>2.4700000000000002</v>
      </c>
      <c r="C9" s="81">
        <f t="shared" ref="C9:C27" si="1">$C$28*B9/100</f>
        <v>24120241.997670002</v>
      </c>
      <c r="D9" s="82">
        <f>'CENSO 2020'!C11</f>
        <v>15393</v>
      </c>
      <c r="E9" s="83">
        <f t="shared" ref="E9:E27" si="2">D9/$D$28*100</f>
        <v>1.2459367229589724</v>
      </c>
      <c r="F9" s="84">
        <f t="shared" ref="F9:F27" si="3">E9*0.6</f>
        <v>0.74756203377538344</v>
      </c>
      <c r="G9" s="85">
        <f>Datos!$I$12*FGP!F9/100</f>
        <v>4280754.1797049921</v>
      </c>
      <c r="H9" s="86">
        <f>'Predial y Agua'!D10</f>
        <v>4476557</v>
      </c>
      <c r="I9" s="87">
        <f>'Predial y Agua'!G10</f>
        <v>4832614</v>
      </c>
      <c r="J9" s="83">
        <f t="shared" ref="J9:J27" si="4">I9/H9</f>
        <v>1.0795381361166629</v>
      </c>
      <c r="K9" s="83">
        <f t="shared" ref="K9:K27" si="5">J9/$J$28*100</f>
        <v>5.3174312791477849</v>
      </c>
      <c r="L9" s="97">
        <f t="shared" ref="L9:L27" si="6">K9*0.3</f>
        <v>1.5952293837443354</v>
      </c>
      <c r="M9" s="88">
        <f>Datos!$I$12*FGP!L9/100</f>
        <v>9134740.0530289598</v>
      </c>
      <c r="N9" s="98">
        <f t="shared" ref="N9:N28" si="7">G9+M9</f>
        <v>13415494.232733952</v>
      </c>
      <c r="O9" s="97">
        <f t="shared" ref="O9:O27" si="8">L9+F9</f>
        <v>2.3427914175197189</v>
      </c>
      <c r="P9" s="97">
        <f t="shared" ref="P9:P27" si="9">MINVERSE(O9)</f>
        <v>0.42684124268249468</v>
      </c>
      <c r="Q9" s="97">
        <f t="shared" ref="Q9:Q27" si="10">P9/P$28*100</f>
        <v>6.7615009524107856</v>
      </c>
      <c r="R9" s="97">
        <f t="shared" ref="R9:R27" si="11">Q9*0.1</f>
        <v>0.67615009524107861</v>
      </c>
      <c r="S9" s="90">
        <f>Datos!$I$12*FGP!R9/100</f>
        <v>3871828.9794541025</v>
      </c>
      <c r="T9" s="91">
        <f t="shared" ref="T9:T27" si="12">C9+G9+M9+S9</f>
        <v>41407565.20985806</v>
      </c>
      <c r="U9" s="92">
        <f t="shared" ref="U9:U28" si="13">R9+L9+F9</f>
        <v>3.0189415127607973</v>
      </c>
      <c r="V9" s="93"/>
      <c r="W9" s="94">
        <v>1.0958106186784708</v>
      </c>
      <c r="X9" s="94">
        <f t="shared" si="0"/>
        <v>-1.6272482561807911E-2</v>
      </c>
      <c r="Y9" s="95"/>
      <c r="Z9" s="95"/>
      <c r="AA9" s="93"/>
      <c r="AB9" s="93"/>
    </row>
    <row r="10" spans="1:28" s="5" customFormat="1" ht="16.5" customHeight="1" x14ac:dyDescent="0.25">
      <c r="A10" s="79" t="s">
        <v>47</v>
      </c>
      <c r="B10" s="96">
        <v>2.33</v>
      </c>
      <c r="C10" s="81">
        <f t="shared" si="1"/>
        <v>22753102.77513</v>
      </c>
      <c r="D10" s="82">
        <f>'CENSO 2020'!C12</f>
        <v>11536</v>
      </c>
      <c r="E10" s="83">
        <f t="shared" si="2"/>
        <v>0.93374430169912959</v>
      </c>
      <c r="F10" s="84">
        <f t="shared" si="3"/>
        <v>0.56024658101947777</v>
      </c>
      <c r="G10" s="85">
        <f>Datos!$I$12*FGP!F10/100</f>
        <v>3208132.2820162917</v>
      </c>
      <c r="H10" s="86">
        <f>'Predial y Agua'!D11</f>
        <v>3050109</v>
      </c>
      <c r="I10" s="87">
        <f>'Predial y Agua'!G11</f>
        <v>3371752</v>
      </c>
      <c r="J10" s="83">
        <f t="shared" si="4"/>
        <v>1.1054529526649703</v>
      </c>
      <c r="K10" s="83">
        <f t="shared" si="5"/>
        <v>5.4450786975178707</v>
      </c>
      <c r="L10" s="97">
        <f t="shared" si="6"/>
        <v>1.6335236092553611</v>
      </c>
      <c r="M10" s="88">
        <f>Datos!$I$12*FGP!L10/100</f>
        <v>9354023.7492421139</v>
      </c>
      <c r="N10" s="98">
        <f t="shared" si="7"/>
        <v>12562156.031258406</v>
      </c>
      <c r="O10" s="97">
        <f t="shared" si="8"/>
        <v>2.1937701902748388</v>
      </c>
      <c r="P10" s="97">
        <f t="shared" si="9"/>
        <v>0.45583626053133602</v>
      </c>
      <c r="Q10" s="97">
        <f t="shared" si="10"/>
        <v>7.2208048368433877</v>
      </c>
      <c r="R10" s="97">
        <f t="shared" si="11"/>
        <v>0.72208048368433886</v>
      </c>
      <c r="S10" s="90">
        <f>Datos!$I$12*FGP!R10/100</f>
        <v>4134839.5303123295</v>
      </c>
      <c r="T10" s="91">
        <f t="shared" si="12"/>
        <v>39450098.336700737</v>
      </c>
      <c r="U10" s="92">
        <f t="shared" si="13"/>
        <v>2.9158506739591776</v>
      </c>
      <c r="V10" s="93"/>
      <c r="W10" s="94">
        <v>1.0258439054458339</v>
      </c>
      <c r="X10" s="94">
        <f t="shared" si="0"/>
        <v>7.960904721913642E-2</v>
      </c>
      <c r="Y10" s="95"/>
      <c r="Z10" s="95"/>
      <c r="AA10" s="93"/>
      <c r="AB10" s="93"/>
    </row>
    <row r="11" spans="1:28" s="5" customFormat="1" ht="16.5" customHeight="1" x14ac:dyDescent="0.25">
      <c r="A11" s="79" t="s">
        <v>48</v>
      </c>
      <c r="B11" s="96">
        <v>2.81</v>
      </c>
      <c r="C11" s="81">
        <f t="shared" si="1"/>
        <v>27440437.252410002</v>
      </c>
      <c r="D11" s="82">
        <f>'CENSO 2020'!C13</f>
        <v>187632</v>
      </c>
      <c r="E11" s="83">
        <f t="shared" si="2"/>
        <v>15.187266887691669</v>
      </c>
      <c r="F11" s="84">
        <f t="shared" si="3"/>
        <v>9.1123601326150006</v>
      </c>
      <c r="G11" s="85">
        <f>Datos!$I$12*FGP!F11/100</f>
        <v>52179982.345638074</v>
      </c>
      <c r="H11" s="86">
        <f>'Predial y Agua'!D12</f>
        <v>323649261</v>
      </c>
      <c r="I11" s="87">
        <f>'Predial y Agua'!G12</f>
        <v>300634231</v>
      </c>
      <c r="J11" s="83">
        <f t="shared" si="4"/>
        <v>0.92888897713256324</v>
      </c>
      <c r="K11" s="83">
        <f t="shared" si="5"/>
        <v>4.5753856548579632</v>
      </c>
      <c r="L11" s="97">
        <f t="shared" si="6"/>
        <v>1.372615696457389</v>
      </c>
      <c r="M11" s="88">
        <f>Datos!$I$12*FGP!L11/100</f>
        <v>7859990.3610194996</v>
      </c>
      <c r="N11" s="98">
        <f t="shared" si="7"/>
        <v>60039972.706657574</v>
      </c>
      <c r="O11" s="97">
        <f t="shared" si="8"/>
        <v>10.48497582907239</v>
      </c>
      <c r="P11" s="97">
        <f t="shared" si="9"/>
        <v>9.5374564167065939E-2</v>
      </c>
      <c r="Q11" s="97">
        <f t="shared" si="10"/>
        <v>1.5108080990455499</v>
      </c>
      <c r="R11" s="97">
        <f t="shared" si="11"/>
        <v>0.151080809904555</v>
      </c>
      <c r="S11" s="90">
        <f>Datos!$I$12*FGP!R11/100</f>
        <v>865131.9612981606</v>
      </c>
      <c r="T11" s="91">
        <f t="shared" si="12"/>
        <v>88345541.920365751</v>
      </c>
      <c r="U11" s="92">
        <f t="shared" si="13"/>
        <v>10.636056638976944</v>
      </c>
      <c r="V11" s="93"/>
      <c r="W11" s="94">
        <v>1.2368625473905901</v>
      </c>
      <c r="X11" s="94">
        <f t="shared" si="0"/>
        <v>-0.30797357025802685</v>
      </c>
      <c r="Y11" s="95"/>
      <c r="Z11" s="95"/>
      <c r="AA11" s="93"/>
      <c r="AB11" s="93"/>
    </row>
    <row r="12" spans="1:28" s="5" customFormat="1" ht="16.5" customHeight="1" x14ac:dyDescent="0.25">
      <c r="A12" s="79" t="s">
        <v>49</v>
      </c>
      <c r="B12" s="96">
        <v>4.6399999999999997</v>
      </c>
      <c r="C12" s="81">
        <f t="shared" si="1"/>
        <v>45310899.947039992</v>
      </c>
      <c r="D12" s="82">
        <f>'CENSO 2020'!C14</f>
        <v>77436</v>
      </c>
      <c r="E12" s="83">
        <f t="shared" si="2"/>
        <v>6.2678071902196431</v>
      </c>
      <c r="F12" s="84">
        <f t="shared" si="3"/>
        <v>3.7606843141317858</v>
      </c>
      <c r="G12" s="85">
        <f>Datos!$I$12*FGP!F12/100</f>
        <v>21534754.8015095</v>
      </c>
      <c r="H12" s="86">
        <f>'Predial y Agua'!D13</f>
        <v>60010155</v>
      </c>
      <c r="I12" s="87">
        <f>'Predial y Agua'!G13</f>
        <v>33277744</v>
      </c>
      <c r="J12" s="83">
        <f t="shared" si="4"/>
        <v>0.55453521158210639</v>
      </c>
      <c r="K12" s="83">
        <f t="shared" si="5"/>
        <v>2.7314485526770396</v>
      </c>
      <c r="L12" s="97">
        <f t="shared" si="6"/>
        <v>0.8194345658031118</v>
      </c>
      <c r="M12" s="88">
        <f>Datos!$I$12*FGP!L12/100</f>
        <v>4692316.8701346712</v>
      </c>
      <c r="N12" s="98">
        <f t="shared" si="7"/>
        <v>26227071.67164417</v>
      </c>
      <c r="O12" s="97">
        <f t="shared" si="8"/>
        <v>4.580118879934898</v>
      </c>
      <c r="P12" s="97">
        <f t="shared" si="9"/>
        <v>0.21833494418254359</v>
      </c>
      <c r="Q12" s="97">
        <f t="shared" si="10"/>
        <v>3.4585972146392314</v>
      </c>
      <c r="R12" s="97">
        <f t="shared" si="11"/>
        <v>0.34585972146392319</v>
      </c>
      <c r="S12" s="90">
        <f>Datos!$I$12*FGP!R12/100</f>
        <v>1980491.7603575692</v>
      </c>
      <c r="T12" s="91">
        <f t="shared" si="12"/>
        <v>73518463.379041731</v>
      </c>
      <c r="U12" s="92">
        <f t="shared" si="13"/>
        <v>4.9259786013988212</v>
      </c>
      <c r="V12" s="93"/>
      <c r="W12" s="94">
        <v>0.59920521048482089</v>
      </c>
      <c r="X12" s="94">
        <f t="shared" si="0"/>
        <v>-4.4669998902714503E-2</v>
      </c>
      <c r="Y12" s="95"/>
      <c r="Z12" s="95"/>
      <c r="AA12" s="93"/>
      <c r="AB12" s="93"/>
    </row>
    <row r="13" spans="1:28" s="5" customFormat="1" ht="16.5" customHeight="1" x14ac:dyDescent="0.25">
      <c r="A13" s="79" t="s">
        <v>50</v>
      </c>
      <c r="B13" s="96">
        <v>1.5</v>
      </c>
      <c r="C13" s="81">
        <f t="shared" si="1"/>
        <v>14647920.241500001</v>
      </c>
      <c r="D13" s="82">
        <f>'CENSO 2020'!C15</f>
        <v>47550</v>
      </c>
      <c r="E13" s="83">
        <f t="shared" si="2"/>
        <v>3.8487813406547868</v>
      </c>
      <c r="F13" s="84">
        <f t="shared" si="3"/>
        <v>2.3092688043928722</v>
      </c>
      <c r="G13" s="85">
        <f>Datos!$I$12*FGP!F13/100</f>
        <v>13223534.154808834</v>
      </c>
      <c r="H13" s="86">
        <f>'Predial y Agua'!D14</f>
        <v>94277</v>
      </c>
      <c r="I13" s="87">
        <f>'Predial y Agua'!G14</f>
        <v>119914</v>
      </c>
      <c r="J13" s="83">
        <f t="shared" si="4"/>
        <v>1.2719327089321892</v>
      </c>
      <c r="K13" s="83">
        <f t="shared" si="5"/>
        <v>6.2651003657700279</v>
      </c>
      <c r="L13" s="97">
        <f t="shared" si="6"/>
        <v>1.8795301097310082</v>
      </c>
      <c r="M13" s="88">
        <f>Datos!$I$12*FGP!L13/100</f>
        <v>10762727.385283297</v>
      </c>
      <c r="N13" s="98">
        <f t="shared" si="7"/>
        <v>23986261.540092133</v>
      </c>
      <c r="O13" s="97">
        <f t="shared" si="8"/>
        <v>4.1887989141238808</v>
      </c>
      <c r="P13" s="97">
        <f t="shared" si="9"/>
        <v>0.2387319182661595</v>
      </c>
      <c r="Q13" s="97">
        <f t="shared" si="10"/>
        <v>3.7817013243216553</v>
      </c>
      <c r="R13" s="97">
        <f t="shared" si="11"/>
        <v>0.37817013243216557</v>
      </c>
      <c r="S13" s="90">
        <f>Datos!$I$12*FGP!R13/100</f>
        <v>2165510.4217545013</v>
      </c>
      <c r="T13" s="91">
        <f t="shared" si="12"/>
        <v>40799692.203346632</v>
      </c>
      <c r="U13" s="92">
        <f t="shared" si="13"/>
        <v>4.5669690465560464</v>
      </c>
      <c r="V13" s="93"/>
      <c r="W13" s="94">
        <v>5.0856642738427809</v>
      </c>
      <c r="X13" s="94">
        <f t="shared" si="0"/>
        <v>-3.8137315649105918</v>
      </c>
      <c r="Y13" s="95"/>
      <c r="Z13" s="95"/>
      <c r="AA13" s="93"/>
      <c r="AB13" s="93"/>
    </row>
    <row r="14" spans="1:28" s="5" customFormat="1" ht="16.5" customHeight="1" x14ac:dyDescent="0.25">
      <c r="A14" s="79" t="s">
        <v>51</v>
      </c>
      <c r="B14" s="96">
        <v>1.53</v>
      </c>
      <c r="C14" s="81">
        <f t="shared" si="1"/>
        <v>14940878.646330001</v>
      </c>
      <c r="D14" s="82">
        <f>'CENSO 2020'!C16</f>
        <v>12230</v>
      </c>
      <c r="E14" s="83">
        <f t="shared" si="2"/>
        <v>0.98991789266473262</v>
      </c>
      <c r="F14" s="84">
        <f t="shared" si="3"/>
        <v>0.5939507355988396</v>
      </c>
      <c r="G14" s="85">
        <f>Datos!$I$12*FGP!F14/100</f>
        <v>3401131.9182610307</v>
      </c>
      <c r="H14" s="86">
        <f>'Predial y Agua'!D15</f>
        <v>99583</v>
      </c>
      <c r="I14" s="87">
        <f>'Predial y Agua'!G15</f>
        <v>124702</v>
      </c>
      <c r="J14" s="83">
        <f t="shared" si="4"/>
        <v>1.2522418485082796</v>
      </c>
      <c r="K14" s="83">
        <f t="shared" si="5"/>
        <v>6.1681100014387802</v>
      </c>
      <c r="L14" s="97">
        <f t="shared" si="6"/>
        <v>1.8504330004316341</v>
      </c>
      <c r="M14" s="88">
        <f>Datos!$I$12*FGP!L14/100</f>
        <v>10596109.008984035</v>
      </c>
      <c r="N14" s="98">
        <f t="shared" si="7"/>
        <v>13997240.927245066</v>
      </c>
      <c r="O14" s="97">
        <f t="shared" si="8"/>
        <v>2.4443837360304737</v>
      </c>
      <c r="P14" s="97">
        <f t="shared" si="9"/>
        <v>0.40910106922243622</v>
      </c>
      <c r="Q14" s="97">
        <f t="shared" si="10"/>
        <v>6.4804826539158045</v>
      </c>
      <c r="R14" s="97">
        <f t="shared" si="11"/>
        <v>0.64804826539158045</v>
      </c>
      <c r="S14" s="90">
        <f>Datos!$I$12*FGP!R14/100</f>
        <v>3710909.8581631691</v>
      </c>
      <c r="T14" s="91">
        <f t="shared" si="12"/>
        <v>32649029.431738235</v>
      </c>
      <c r="U14" s="92">
        <f t="shared" si="13"/>
        <v>3.0924320014220541</v>
      </c>
      <c r="V14" s="93"/>
      <c r="W14" s="94">
        <v>0.76323116375625843</v>
      </c>
      <c r="X14" s="94">
        <f t="shared" si="0"/>
        <v>0.48901068475202114</v>
      </c>
      <c r="Y14" s="95"/>
      <c r="Z14" s="95"/>
      <c r="AA14" s="93"/>
      <c r="AB14" s="93"/>
    </row>
    <row r="15" spans="1:28" s="5" customFormat="1" ht="16.5" customHeight="1" x14ac:dyDescent="0.25">
      <c r="A15" s="79" t="s">
        <v>52</v>
      </c>
      <c r="B15" s="96">
        <v>3.16</v>
      </c>
      <c r="C15" s="81">
        <f t="shared" si="1"/>
        <v>30858285.308760002</v>
      </c>
      <c r="D15" s="82">
        <f>'CENSO 2020'!C17</f>
        <v>29299</v>
      </c>
      <c r="E15" s="83">
        <f t="shared" si="2"/>
        <v>2.3715130283878989</v>
      </c>
      <c r="F15" s="84">
        <f t="shared" si="3"/>
        <v>1.4229078170327394</v>
      </c>
      <c r="G15" s="85">
        <f>Datos!$I$12*FGP!F15/100</f>
        <v>8147977.4385224823</v>
      </c>
      <c r="H15" s="86">
        <f>'Predial y Agua'!D16</f>
        <v>11883725</v>
      </c>
      <c r="I15" s="87">
        <f>'Predial y Agua'!G16</f>
        <v>12844378</v>
      </c>
      <c r="J15" s="83">
        <f t="shared" si="4"/>
        <v>1.0808377003002005</v>
      </c>
      <c r="K15" s="83">
        <f t="shared" si="5"/>
        <v>5.3238324825954564</v>
      </c>
      <c r="L15" s="97">
        <f t="shared" si="6"/>
        <v>1.5971497447786369</v>
      </c>
      <c r="M15" s="88">
        <f>Datos!$I$12*FGP!L15/100</f>
        <v>9145736.5899753496</v>
      </c>
      <c r="N15" s="98">
        <f t="shared" si="7"/>
        <v>17293714.02849783</v>
      </c>
      <c r="O15" s="97">
        <f t="shared" si="8"/>
        <v>3.0200575618113765</v>
      </c>
      <c r="P15" s="97">
        <f t="shared" si="9"/>
        <v>0.3311195166095503</v>
      </c>
      <c r="Q15" s="97">
        <f t="shared" si="10"/>
        <v>5.2451935357677009</v>
      </c>
      <c r="R15" s="97">
        <f t="shared" si="11"/>
        <v>0.52451935357677015</v>
      </c>
      <c r="S15" s="90">
        <f>Datos!$I$12*FGP!R15/100</f>
        <v>3003547.951492901</v>
      </c>
      <c r="T15" s="91">
        <f t="shared" si="12"/>
        <v>51155547.28875073</v>
      </c>
      <c r="U15" s="92">
        <f t="shared" si="13"/>
        <v>3.5445769153881468</v>
      </c>
      <c r="V15" s="93"/>
      <c r="W15" s="94">
        <v>1.5455894402307131</v>
      </c>
      <c r="X15" s="94">
        <f t="shared" si="0"/>
        <v>-0.46475173993051255</v>
      </c>
      <c r="Y15" s="95"/>
      <c r="Z15" s="95"/>
      <c r="AA15" s="93"/>
      <c r="AB15" s="93"/>
    </row>
    <row r="16" spans="1:28" s="5" customFormat="1" ht="16.5" customHeight="1" x14ac:dyDescent="0.25">
      <c r="A16" s="79" t="s">
        <v>53</v>
      </c>
      <c r="B16" s="96">
        <v>2.81</v>
      </c>
      <c r="C16" s="81">
        <f t="shared" si="1"/>
        <v>27440437.252410002</v>
      </c>
      <c r="D16" s="82">
        <f>'CENSO 2020'!C18</f>
        <v>19321</v>
      </c>
      <c r="E16" s="83">
        <f t="shared" si="2"/>
        <v>1.563876010153336</v>
      </c>
      <c r="F16" s="84">
        <f t="shared" si="3"/>
        <v>0.93832560609200155</v>
      </c>
      <c r="G16" s="85">
        <f>Datos!$I$12*FGP!F16/100</f>
        <v>5373120.9969518697</v>
      </c>
      <c r="H16" s="86">
        <f>'Predial y Agua'!D17</f>
        <v>4290832</v>
      </c>
      <c r="I16" s="87">
        <f>'Predial y Agua'!G17</f>
        <v>3780718</v>
      </c>
      <c r="J16" s="83">
        <f t="shared" si="4"/>
        <v>0.88111536410654157</v>
      </c>
      <c r="K16" s="83">
        <f t="shared" si="5"/>
        <v>4.3400693693802852</v>
      </c>
      <c r="L16" s="97">
        <f t="shared" si="6"/>
        <v>1.3020208108140856</v>
      </c>
      <c r="M16" s="88">
        <f>Datos!$I$12*FGP!L16/100</f>
        <v>7455743.8394871233</v>
      </c>
      <c r="N16" s="98">
        <f t="shared" si="7"/>
        <v>12828864.836438993</v>
      </c>
      <c r="O16" s="97">
        <f t="shared" si="8"/>
        <v>2.2403464169060872</v>
      </c>
      <c r="P16" s="97">
        <f t="shared" si="9"/>
        <v>0.44635954174488673</v>
      </c>
      <c r="Q16" s="97">
        <f t="shared" si="10"/>
        <v>7.0706861587662333</v>
      </c>
      <c r="R16" s="97">
        <f t="shared" si="11"/>
        <v>0.7070686158766234</v>
      </c>
      <c r="S16" s="90">
        <f>Datos!$I$12*FGP!R16/100</f>
        <v>4048877.2784059341</v>
      </c>
      <c r="T16" s="91">
        <f t="shared" si="12"/>
        <v>44318179.367254928</v>
      </c>
      <c r="U16" s="92">
        <f t="shared" si="13"/>
        <v>2.9474150327827102</v>
      </c>
      <c r="V16" s="93"/>
      <c r="W16" s="94">
        <v>1.3217513416832607</v>
      </c>
      <c r="X16" s="94">
        <f t="shared" si="0"/>
        <v>-0.44063597757671913</v>
      </c>
      <c r="Y16" s="95"/>
      <c r="Z16" s="95"/>
      <c r="AA16" s="93"/>
      <c r="AB16" s="93"/>
    </row>
    <row r="17" spans="1:28" s="5" customFormat="1" ht="16.5" customHeight="1" x14ac:dyDescent="0.25">
      <c r="A17" s="79" t="s">
        <v>54</v>
      </c>
      <c r="B17" s="96">
        <v>1.6</v>
      </c>
      <c r="C17" s="81">
        <f t="shared" si="1"/>
        <v>15624448.257600002</v>
      </c>
      <c r="D17" s="82">
        <f>'CENSO 2020'!C19</f>
        <v>13719</v>
      </c>
      <c r="E17" s="83">
        <f t="shared" si="2"/>
        <v>1.1104401937422297</v>
      </c>
      <c r="F17" s="84">
        <f t="shared" si="3"/>
        <v>0.66626411624533777</v>
      </c>
      <c r="G17" s="85">
        <f>Datos!$I$12*FGP!F17/100</f>
        <v>3815219.0340656652</v>
      </c>
      <c r="H17" s="86">
        <f>'Predial y Agua'!D18</f>
        <v>561068</v>
      </c>
      <c r="I17" s="87">
        <f>'Predial y Agua'!G18</f>
        <v>692496</v>
      </c>
      <c r="J17" s="83">
        <f t="shared" si="4"/>
        <v>1.2342461163352749</v>
      </c>
      <c r="K17" s="83">
        <f t="shared" si="5"/>
        <v>6.0794692522642091</v>
      </c>
      <c r="L17" s="97">
        <f t="shared" si="6"/>
        <v>1.8238407756792627</v>
      </c>
      <c r="M17" s="88">
        <f>Datos!$I$12*FGP!L17/100</f>
        <v>10443834.318572761</v>
      </c>
      <c r="N17" s="98">
        <f t="shared" si="7"/>
        <v>14259053.352638427</v>
      </c>
      <c r="O17" s="97">
        <f t="shared" si="8"/>
        <v>2.4901048919246005</v>
      </c>
      <c r="P17" s="97">
        <f t="shared" si="9"/>
        <v>0.40158950863595977</v>
      </c>
      <c r="Q17" s="97">
        <f t="shared" si="10"/>
        <v>6.3614936271283176</v>
      </c>
      <c r="R17" s="97">
        <f t="shared" si="11"/>
        <v>0.63614936271283185</v>
      </c>
      <c r="S17" s="90">
        <f>Datos!$I$12*FGP!R17/100</f>
        <v>3642773.3356076903</v>
      </c>
      <c r="T17" s="91">
        <f t="shared" si="12"/>
        <v>33526274.945846114</v>
      </c>
      <c r="U17" s="92">
        <f t="shared" si="13"/>
        <v>3.1262542546374323</v>
      </c>
      <c r="V17" s="93"/>
      <c r="W17" s="94">
        <v>1.0641937928415424</v>
      </c>
      <c r="X17" s="94">
        <f t="shared" si="0"/>
        <v>0.17005232349373256</v>
      </c>
      <c r="Y17" s="95"/>
      <c r="Z17" s="95"/>
      <c r="AA17" s="93"/>
      <c r="AB17" s="93"/>
    </row>
    <row r="18" spans="1:28" s="5" customFormat="1" ht="16.5" customHeight="1" x14ac:dyDescent="0.25">
      <c r="A18" s="79" t="s">
        <v>55</v>
      </c>
      <c r="B18" s="96">
        <v>2.84</v>
      </c>
      <c r="C18" s="81">
        <f t="shared" si="1"/>
        <v>27733395.65724</v>
      </c>
      <c r="D18" s="82">
        <f>'CENSO 2020'!C20</f>
        <v>33567</v>
      </c>
      <c r="E18" s="83">
        <f t="shared" si="2"/>
        <v>2.7169725186489848</v>
      </c>
      <c r="F18" s="84">
        <f t="shared" si="3"/>
        <v>1.6301835111893908</v>
      </c>
      <c r="G18" s="85">
        <f>Datos!$I$12*FGP!F18/100</f>
        <v>9334897.391681768</v>
      </c>
      <c r="H18" s="86">
        <f>'Predial y Agua'!D19</f>
        <v>2522032</v>
      </c>
      <c r="I18" s="87">
        <f>'Predial y Agua'!G19</f>
        <v>2398188</v>
      </c>
      <c r="J18" s="83">
        <f t="shared" si="4"/>
        <v>0.95089515121140411</v>
      </c>
      <c r="K18" s="83">
        <f t="shared" si="5"/>
        <v>4.6837804530279792</v>
      </c>
      <c r="L18" s="97">
        <f t="shared" si="6"/>
        <v>1.4051341359083938</v>
      </c>
      <c r="M18" s="88">
        <f>Datos!$I$12*FGP!L18/100</f>
        <v>8046200.2530526174</v>
      </c>
      <c r="N18" s="98">
        <f t="shared" si="7"/>
        <v>17381097.644734386</v>
      </c>
      <c r="O18" s="97">
        <f t="shared" si="8"/>
        <v>3.0353176470977843</v>
      </c>
      <c r="P18" s="97">
        <f t="shared" si="9"/>
        <v>0.32945481042359731</v>
      </c>
      <c r="Q18" s="97">
        <f t="shared" si="10"/>
        <v>5.2188232806558297</v>
      </c>
      <c r="R18" s="97">
        <f t="shared" si="11"/>
        <v>0.52188232806558299</v>
      </c>
      <c r="S18" s="90">
        <f>Datos!$I$12*FGP!R18/100</f>
        <v>2988447.5886213495</v>
      </c>
      <c r="T18" s="91">
        <f t="shared" si="12"/>
        <v>48102940.890595727</v>
      </c>
      <c r="U18" s="92">
        <f t="shared" si="13"/>
        <v>3.5571999751633676</v>
      </c>
      <c r="V18" s="93"/>
      <c r="W18" s="94">
        <v>0.85819469233584766</v>
      </c>
      <c r="X18" s="94">
        <f t="shared" si="0"/>
        <v>9.2700458875556446E-2</v>
      </c>
      <c r="Y18" s="95"/>
      <c r="Z18" s="95"/>
      <c r="AA18" s="93"/>
      <c r="AB18" s="93"/>
    </row>
    <row r="19" spans="1:28" s="5" customFormat="1" ht="16.5" customHeight="1" x14ac:dyDescent="0.25">
      <c r="A19" s="79" t="s">
        <v>56</v>
      </c>
      <c r="B19" s="96">
        <v>3.33</v>
      </c>
      <c r="C19" s="81">
        <f t="shared" si="1"/>
        <v>32518382.936129998</v>
      </c>
      <c r="D19" s="82">
        <f>'CENSO 2020'!C21</f>
        <v>24096</v>
      </c>
      <c r="E19" s="83">
        <f t="shared" si="2"/>
        <v>1.9503729796933278</v>
      </c>
      <c r="F19" s="84">
        <f t="shared" si="3"/>
        <v>1.1702237878159967</v>
      </c>
      <c r="G19" s="85">
        <f>Datos!$I$12*FGP!F19/100</f>
        <v>6701036.3616040722</v>
      </c>
      <c r="H19" s="86">
        <f>'Predial y Agua'!D20</f>
        <v>3423553</v>
      </c>
      <c r="I19" s="87">
        <f>'Predial y Agua'!G20</f>
        <v>3362045</v>
      </c>
      <c r="J19" s="83">
        <f t="shared" si="4"/>
        <v>0.982033869491724</v>
      </c>
      <c r="K19" s="83">
        <f t="shared" si="5"/>
        <v>4.8371590035736451</v>
      </c>
      <c r="L19" s="97">
        <f t="shared" si="6"/>
        <v>1.4511477010720935</v>
      </c>
      <c r="M19" s="88">
        <f>Datos!$I$12*FGP!L19/100</f>
        <v>8309687.0976197124</v>
      </c>
      <c r="N19" s="98">
        <f t="shared" si="7"/>
        <v>15010723.459223785</v>
      </c>
      <c r="O19" s="97">
        <f t="shared" si="8"/>
        <v>2.6213714888880899</v>
      </c>
      <c r="P19" s="97">
        <f t="shared" si="9"/>
        <v>0.38147969650199071</v>
      </c>
      <c r="Q19" s="97">
        <f t="shared" si="10"/>
        <v>6.0429383885527033</v>
      </c>
      <c r="R19" s="97">
        <f t="shared" si="11"/>
        <v>0.60429383885527033</v>
      </c>
      <c r="S19" s="90">
        <f>Datos!$I$12*FGP!R19/100</f>
        <v>3460359.4880086267</v>
      </c>
      <c r="T19" s="91">
        <f t="shared" si="12"/>
        <v>50989465.883362405</v>
      </c>
      <c r="U19" s="92">
        <f t="shared" si="13"/>
        <v>3.2256653277433607</v>
      </c>
      <c r="V19" s="93"/>
      <c r="W19" s="94">
        <v>0.30847701853884074</v>
      </c>
      <c r="X19" s="94">
        <f t="shared" si="0"/>
        <v>0.67355685095288331</v>
      </c>
      <c r="Y19" s="95"/>
      <c r="Z19" s="95"/>
      <c r="AA19" s="93"/>
      <c r="AB19" s="93"/>
    </row>
    <row r="20" spans="1:28" s="5" customFormat="1" ht="16.5" customHeight="1" x14ac:dyDescent="0.25">
      <c r="A20" s="79" t="s">
        <v>57</v>
      </c>
      <c r="B20" s="96">
        <v>4.6900000000000004</v>
      </c>
      <c r="C20" s="81">
        <f t="shared" si="1"/>
        <v>45799163.955090009</v>
      </c>
      <c r="D20" s="82">
        <f>'CENSO 2020'!C22</f>
        <v>41518</v>
      </c>
      <c r="E20" s="83">
        <f t="shared" si="2"/>
        <v>3.3605405615416495</v>
      </c>
      <c r="F20" s="84">
        <f t="shared" si="3"/>
        <v>2.0163243369249897</v>
      </c>
      <c r="G20" s="85">
        <f>Datos!$I$12*FGP!F20/100</f>
        <v>11546050.284739288</v>
      </c>
      <c r="H20" s="86">
        <f>'Predial y Agua'!D21</f>
        <v>5209406</v>
      </c>
      <c r="I20" s="87">
        <f>'Predial y Agua'!G21</f>
        <v>5040672</v>
      </c>
      <c r="J20" s="83">
        <f t="shared" si="4"/>
        <v>0.96760974283824297</v>
      </c>
      <c r="K20" s="83">
        <f t="shared" si="5"/>
        <v>4.7661107472169828</v>
      </c>
      <c r="L20" s="97">
        <f t="shared" si="6"/>
        <v>1.4298332241650948</v>
      </c>
      <c r="M20" s="88">
        <f>Datos!$I$12*FGP!L20/100</f>
        <v>8187634.3020181702</v>
      </c>
      <c r="N20" s="98">
        <f t="shared" si="7"/>
        <v>19733684.586757459</v>
      </c>
      <c r="O20" s="97">
        <f t="shared" si="8"/>
        <v>3.4461575610900845</v>
      </c>
      <c r="P20" s="97">
        <f t="shared" si="9"/>
        <v>0.29017825861789126</v>
      </c>
      <c r="Q20" s="97">
        <f t="shared" si="10"/>
        <v>4.5966518129393519</v>
      </c>
      <c r="R20" s="97">
        <f t="shared" si="11"/>
        <v>0.45966518129393519</v>
      </c>
      <c r="S20" s="90">
        <f>Datos!$I$12*FGP!R20/100</f>
        <v>2632174.3978240825</v>
      </c>
      <c r="T20" s="91">
        <f t="shared" si="12"/>
        <v>68165022.939671546</v>
      </c>
      <c r="U20" s="92">
        <f t="shared" si="13"/>
        <v>3.9058227423840197</v>
      </c>
      <c r="V20" s="93"/>
      <c r="W20" s="94">
        <v>0.9189459125639704</v>
      </c>
      <c r="X20" s="94">
        <f t="shared" si="0"/>
        <v>4.8663830274272568E-2</v>
      </c>
      <c r="Y20" s="95"/>
      <c r="Z20" s="95"/>
      <c r="AA20" s="93"/>
      <c r="AB20" s="93"/>
    </row>
    <row r="21" spans="1:28" s="5" customFormat="1" ht="16.5" customHeight="1" x14ac:dyDescent="0.25">
      <c r="A21" s="79" t="s">
        <v>58</v>
      </c>
      <c r="B21" s="96">
        <v>2.13</v>
      </c>
      <c r="C21" s="81">
        <f t="shared" si="1"/>
        <v>20800046.742929999</v>
      </c>
      <c r="D21" s="82">
        <f>'CENSO 2020'!C23</f>
        <v>7683</v>
      </c>
      <c r="E21" s="83">
        <f t="shared" si="2"/>
        <v>0.62187564753418989</v>
      </c>
      <c r="F21" s="84">
        <f t="shared" si="3"/>
        <v>0.37312538852051391</v>
      </c>
      <c r="G21" s="85">
        <f>Datos!$I$12*FGP!F21/100</f>
        <v>2136622.7741618566</v>
      </c>
      <c r="H21" s="86">
        <f>'Predial y Agua'!D22</f>
        <v>2088284</v>
      </c>
      <c r="I21" s="87">
        <f>'Predial y Agua'!G22</f>
        <v>1848192</v>
      </c>
      <c r="J21" s="83">
        <f t="shared" si="4"/>
        <v>0.88502904777319558</v>
      </c>
      <c r="K21" s="83">
        <f t="shared" si="5"/>
        <v>4.3593468207731707</v>
      </c>
      <c r="L21" s="97">
        <f t="shared" si="6"/>
        <v>1.3078040462319511</v>
      </c>
      <c r="M21" s="88">
        <f>Datos!$I$12*FGP!L21/100</f>
        <v>7488860.3008224033</v>
      </c>
      <c r="N21" s="98">
        <f t="shared" si="7"/>
        <v>9625483.0749842599</v>
      </c>
      <c r="O21" s="97">
        <f t="shared" si="8"/>
        <v>1.680929434752465</v>
      </c>
      <c r="P21" s="97">
        <f t="shared" si="9"/>
        <v>0.59490897079047267</v>
      </c>
      <c r="Q21" s="97">
        <f t="shared" si="10"/>
        <v>9.4238259342469775</v>
      </c>
      <c r="R21" s="97">
        <f t="shared" si="11"/>
        <v>0.94238259342469777</v>
      </c>
      <c r="S21" s="90">
        <f>Datos!$I$12*FGP!R21/100</f>
        <v>5396352.4676483441</v>
      </c>
      <c r="T21" s="91">
        <f t="shared" si="12"/>
        <v>35821882.285562605</v>
      </c>
      <c r="U21" s="92">
        <f t="shared" si="13"/>
        <v>2.6233120281771627</v>
      </c>
      <c r="V21" s="93"/>
      <c r="W21" s="94">
        <v>0.95554775379956836</v>
      </c>
      <c r="X21" s="94">
        <f t="shared" si="0"/>
        <v>-7.0518706026372779E-2</v>
      </c>
      <c r="Y21" s="95"/>
      <c r="Z21" s="95"/>
      <c r="AA21" s="93"/>
      <c r="AB21" s="93"/>
    </row>
    <row r="22" spans="1:28" s="5" customFormat="1" ht="16.5" customHeight="1" x14ac:dyDescent="0.25">
      <c r="A22" s="79" t="s">
        <v>59</v>
      </c>
      <c r="B22" s="96">
        <v>2.81</v>
      </c>
      <c r="C22" s="81">
        <f t="shared" si="1"/>
        <v>27440437.252410002</v>
      </c>
      <c r="D22" s="82">
        <f>'CENSO 2020'!C24</f>
        <v>24911</v>
      </c>
      <c r="E22" s="83">
        <f t="shared" si="2"/>
        <v>2.0163405252797348</v>
      </c>
      <c r="F22" s="84">
        <f t="shared" si="3"/>
        <v>1.2098043151678408</v>
      </c>
      <c r="G22" s="85">
        <f>Datos!$I$12*FGP!F22/100</f>
        <v>6927685.7903352855</v>
      </c>
      <c r="H22" s="86">
        <f>'Predial y Agua'!D23</f>
        <v>2820618</v>
      </c>
      <c r="I22" s="87">
        <f>'Predial y Agua'!G23</f>
        <v>3282568</v>
      </c>
      <c r="J22" s="83">
        <f t="shared" si="4"/>
        <v>1.1637761653651788</v>
      </c>
      <c r="K22" s="83">
        <f t="shared" si="5"/>
        <v>5.7323586602508998</v>
      </c>
      <c r="L22" s="97">
        <f t="shared" si="6"/>
        <v>1.7197075980752698</v>
      </c>
      <c r="M22" s="88">
        <f>Datos!$I$12*FGP!L22/100</f>
        <v>9847537.9376249388</v>
      </c>
      <c r="N22" s="98">
        <f t="shared" si="7"/>
        <v>16775223.727960225</v>
      </c>
      <c r="O22" s="97">
        <f t="shared" si="8"/>
        <v>2.9295119132431107</v>
      </c>
      <c r="P22" s="97">
        <f t="shared" si="9"/>
        <v>0.34135379189939935</v>
      </c>
      <c r="Q22" s="97">
        <f t="shared" si="10"/>
        <v>5.4073125046017925</v>
      </c>
      <c r="R22" s="97">
        <f t="shared" si="11"/>
        <v>0.54073125046017922</v>
      </c>
      <c r="S22" s="90">
        <f>Datos!$I$12*FGP!R22/100</f>
        <v>3096381.9133704398</v>
      </c>
      <c r="T22" s="91">
        <f t="shared" si="12"/>
        <v>47312042.893740661</v>
      </c>
      <c r="U22" s="92">
        <f t="shared" si="13"/>
        <v>3.47024316370329</v>
      </c>
      <c r="V22" s="93"/>
      <c r="W22" s="94">
        <v>1.699762368686244</v>
      </c>
      <c r="X22" s="94">
        <f t="shared" si="0"/>
        <v>-0.53598620332106517</v>
      </c>
      <c r="Y22" s="95"/>
      <c r="Z22" s="95"/>
      <c r="AA22" s="93"/>
      <c r="AB22" s="93"/>
    </row>
    <row r="23" spans="1:28" s="5" customFormat="1" ht="16.5" customHeight="1" x14ac:dyDescent="0.25">
      <c r="A23" s="79" t="s">
        <v>60</v>
      </c>
      <c r="B23" s="96">
        <v>8.34</v>
      </c>
      <c r="C23" s="81">
        <f t="shared" si="1"/>
        <v>81442436.542740002</v>
      </c>
      <c r="D23" s="82">
        <f>'CENSO 2020'!C25</f>
        <v>93981</v>
      </c>
      <c r="E23" s="83">
        <f t="shared" si="2"/>
        <v>7.6069888365105687</v>
      </c>
      <c r="F23" s="84">
        <f t="shared" si="3"/>
        <v>4.5641933019063412</v>
      </c>
      <c r="G23" s="85">
        <f>Datos!$I$12*FGP!F23/100</f>
        <v>26135877.253482416</v>
      </c>
      <c r="H23" s="86">
        <f>'Predial y Agua'!D24</f>
        <v>17843967</v>
      </c>
      <c r="I23" s="87">
        <f>'Predial y Agua'!G24</f>
        <v>16581584</v>
      </c>
      <c r="J23" s="83">
        <f t="shared" si="4"/>
        <v>0.92925435246545796</v>
      </c>
      <c r="K23" s="83">
        <f t="shared" si="5"/>
        <v>4.5771853673079121</v>
      </c>
      <c r="L23" s="97">
        <f t="shared" si="6"/>
        <v>1.3731556101923736</v>
      </c>
      <c r="M23" s="88">
        <f>Datos!$I$12*FGP!L23/100</f>
        <v>7863082.0616052588</v>
      </c>
      <c r="N23" s="98">
        <f t="shared" si="7"/>
        <v>33998959.315087676</v>
      </c>
      <c r="O23" s="97">
        <f t="shared" si="8"/>
        <v>5.9373489120987148</v>
      </c>
      <c r="P23" s="97">
        <f t="shared" si="9"/>
        <v>0.16842533844731103</v>
      </c>
      <c r="Q23" s="97">
        <f t="shared" si="10"/>
        <v>2.6679898108363056</v>
      </c>
      <c r="R23" s="97">
        <f t="shared" si="11"/>
        <v>0.26679898108363059</v>
      </c>
      <c r="S23" s="90">
        <f>Datos!$I$12*FGP!R23/100</f>
        <v>1527767.3314238251</v>
      </c>
      <c r="T23" s="91">
        <f t="shared" si="12"/>
        <v>116969163.1892515</v>
      </c>
      <c r="U23" s="92">
        <f t="shared" si="13"/>
        <v>6.2041478931823457</v>
      </c>
      <c r="V23" s="93"/>
      <c r="W23" s="94">
        <v>1.2135546261977699</v>
      </c>
      <c r="X23" s="94">
        <f t="shared" si="0"/>
        <v>-0.28430027373231193</v>
      </c>
      <c r="Y23" s="95"/>
      <c r="Z23" s="95"/>
      <c r="AA23" s="93"/>
      <c r="AB23" s="93"/>
    </row>
    <row r="24" spans="1:28" s="5" customFormat="1" ht="16.5" customHeight="1" x14ac:dyDescent="0.25">
      <c r="A24" s="79" t="s">
        <v>61</v>
      </c>
      <c r="B24" s="96">
        <v>3.5</v>
      </c>
      <c r="C24" s="81">
        <f t="shared" si="1"/>
        <v>34178480.563500002</v>
      </c>
      <c r="D24" s="82">
        <f>'CENSO 2020'!C26</f>
        <v>37135</v>
      </c>
      <c r="E24" s="83">
        <f t="shared" si="2"/>
        <v>3.0057727673021133</v>
      </c>
      <c r="F24" s="84">
        <f t="shared" si="3"/>
        <v>1.8034636603812679</v>
      </c>
      <c r="G24" s="85">
        <f>Datos!$I$12*FGP!F24/100</f>
        <v>10327149.12384492</v>
      </c>
      <c r="H24" s="86">
        <f>'Predial y Agua'!D25</f>
        <v>4883574</v>
      </c>
      <c r="I24" s="87">
        <f>'Predial y Agua'!G25</f>
        <v>5174485</v>
      </c>
      <c r="J24" s="83">
        <f t="shared" si="4"/>
        <v>1.0595692826606089</v>
      </c>
      <c r="K24" s="83">
        <f t="shared" si="5"/>
        <v>5.2190716173410205</v>
      </c>
      <c r="L24" s="97">
        <f t="shared" si="6"/>
        <v>1.565721485202306</v>
      </c>
      <c r="M24" s="88">
        <f>Datos!$I$12*FGP!L24/100</f>
        <v>8965769.3799462542</v>
      </c>
      <c r="N24" s="98">
        <f t="shared" si="7"/>
        <v>19292918.503791176</v>
      </c>
      <c r="O24" s="97">
        <f t="shared" si="8"/>
        <v>3.369185145583574</v>
      </c>
      <c r="P24" s="97">
        <f t="shared" si="9"/>
        <v>0.29680767211942305</v>
      </c>
      <c r="Q24" s="97">
        <f t="shared" si="10"/>
        <v>4.7016669361800902</v>
      </c>
      <c r="R24" s="97">
        <f t="shared" si="11"/>
        <v>0.47016669361800906</v>
      </c>
      <c r="S24" s="90">
        <f>Datos!$I$12*FGP!R24/100</f>
        <v>2692309.0632343511</v>
      </c>
      <c r="T24" s="91">
        <f t="shared" si="12"/>
        <v>56163708.130525529</v>
      </c>
      <c r="U24" s="92">
        <f t="shared" si="13"/>
        <v>3.8393518392015826</v>
      </c>
      <c r="V24" s="93"/>
      <c r="W24" s="94">
        <v>0.93743913529070699</v>
      </c>
      <c r="X24" s="94">
        <f t="shared" si="0"/>
        <v>0.12213014736990191</v>
      </c>
      <c r="Y24" s="95"/>
      <c r="Z24" s="95"/>
      <c r="AA24" s="93"/>
      <c r="AB24" s="93"/>
    </row>
    <row r="25" spans="1:28" s="5" customFormat="1" ht="16.5" customHeight="1" x14ac:dyDescent="0.25">
      <c r="A25" s="79" t="s">
        <v>62</v>
      </c>
      <c r="B25" s="96">
        <v>39</v>
      </c>
      <c r="C25" s="81">
        <f t="shared" si="1"/>
        <v>380845926.27900004</v>
      </c>
      <c r="D25" s="82">
        <f>'CENSO 2020'!C27</f>
        <v>425924</v>
      </c>
      <c r="E25" s="83">
        <f t="shared" si="2"/>
        <v>34.475044032324909</v>
      </c>
      <c r="F25" s="84">
        <f t="shared" si="3"/>
        <v>20.685026419394944</v>
      </c>
      <c r="G25" s="85">
        <f>Datos!$I$12*FGP!F25/100</f>
        <v>118448381.94222498</v>
      </c>
      <c r="H25" s="86">
        <f>'Predial y Agua'!D26</f>
        <v>288565311</v>
      </c>
      <c r="I25" s="87">
        <f>'Predial y Agua'!G26</f>
        <v>266520773</v>
      </c>
      <c r="J25" s="83">
        <f t="shared" si="4"/>
        <v>0.92360641712752511</v>
      </c>
      <c r="K25" s="83">
        <f t="shared" si="5"/>
        <v>4.5493655923284368</v>
      </c>
      <c r="L25" s="97">
        <f t="shared" si="6"/>
        <v>1.364809677698531</v>
      </c>
      <c r="M25" s="88">
        <f>Datos!$I$12*FGP!L25/100</f>
        <v>7815290.8632934317</v>
      </c>
      <c r="N25" s="98">
        <f t="shared" si="7"/>
        <v>126263672.80551842</v>
      </c>
      <c r="O25" s="97">
        <f t="shared" si="8"/>
        <v>22.049836097093475</v>
      </c>
      <c r="P25" s="97">
        <f t="shared" si="9"/>
        <v>4.5351811033725375E-2</v>
      </c>
      <c r="Q25" s="97">
        <f t="shared" si="10"/>
        <v>0.71840835147738202</v>
      </c>
      <c r="R25" s="97">
        <f t="shared" si="11"/>
        <v>7.1840835147738202E-2</v>
      </c>
      <c r="S25" s="90">
        <f>Datos!$I$12*FGP!R25/100</f>
        <v>411381.18502227293</v>
      </c>
      <c r="T25" s="91">
        <f t="shared" si="12"/>
        <v>507520980.26954073</v>
      </c>
      <c r="U25" s="92">
        <f t="shared" si="13"/>
        <v>22.121676932241215</v>
      </c>
      <c r="V25" s="93"/>
      <c r="W25" s="94">
        <v>0.78971025252641724</v>
      </c>
      <c r="X25" s="94">
        <f t="shared" si="0"/>
        <v>0.13389616460110787</v>
      </c>
      <c r="Y25" s="95"/>
      <c r="Z25" s="95"/>
      <c r="AA25" s="93"/>
      <c r="AB25" s="93"/>
    </row>
    <row r="26" spans="1:28" s="5" customFormat="1" ht="16.5" customHeight="1" x14ac:dyDescent="0.25">
      <c r="A26" s="79" t="s">
        <v>63</v>
      </c>
      <c r="B26" s="96">
        <v>3.79</v>
      </c>
      <c r="C26" s="81">
        <f t="shared" si="1"/>
        <v>37010411.81019</v>
      </c>
      <c r="D26" s="82">
        <f>'CENSO 2020'!C28</f>
        <v>30064</v>
      </c>
      <c r="E26" s="83">
        <f t="shared" si="2"/>
        <v>2.4334334852880231</v>
      </c>
      <c r="F26" s="84">
        <f t="shared" si="3"/>
        <v>1.4600600911728139</v>
      </c>
      <c r="G26" s="85">
        <f>Datos!$I$12*FGP!F26/100</f>
        <v>8360721.9943253994</v>
      </c>
      <c r="H26" s="86">
        <f>'Predial y Agua'!D27</f>
        <v>3116609</v>
      </c>
      <c r="I26" s="87">
        <f>'Predial y Agua'!G27</f>
        <v>3902448</v>
      </c>
      <c r="J26" s="83">
        <f t="shared" si="4"/>
        <v>1.2521455209812973</v>
      </c>
      <c r="K26" s="83">
        <f t="shared" si="5"/>
        <v>6.1676355253754691</v>
      </c>
      <c r="L26" s="97">
        <f t="shared" si="6"/>
        <v>1.8502906576126406</v>
      </c>
      <c r="M26" s="88">
        <f>Datos!$I$12*FGP!L26/100</f>
        <v>10595293.913259763</v>
      </c>
      <c r="N26" s="98">
        <f t="shared" si="7"/>
        <v>18956015.907585163</v>
      </c>
      <c r="O26" s="97">
        <f t="shared" si="8"/>
        <v>3.3103507487854547</v>
      </c>
      <c r="P26" s="97">
        <f t="shared" si="9"/>
        <v>0.30208279299916879</v>
      </c>
      <c r="Q26" s="97">
        <f t="shared" si="10"/>
        <v>4.7852289992748567</v>
      </c>
      <c r="R26" s="97">
        <f t="shared" si="11"/>
        <v>0.4785228999274857</v>
      </c>
      <c r="S26" s="90">
        <f>Datos!$I$12*FGP!R26/100</f>
        <v>2740159.092355168</v>
      </c>
      <c r="T26" s="91">
        <f t="shared" si="12"/>
        <v>58706586.810130335</v>
      </c>
      <c r="U26" s="92">
        <f t="shared" si="13"/>
        <v>3.78887364871294</v>
      </c>
      <c r="V26" s="93"/>
      <c r="W26" s="94">
        <v>1.0987404654646735</v>
      </c>
      <c r="X26" s="94">
        <f t="shared" si="0"/>
        <v>0.15340505551662376</v>
      </c>
      <c r="Y26" s="95"/>
      <c r="Z26" s="95"/>
      <c r="AA26" s="93"/>
      <c r="AB26" s="93"/>
    </row>
    <row r="27" spans="1:28" s="5" customFormat="1" ht="16.5" customHeight="1" thickBot="1" x14ac:dyDescent="0.3">
      <c r="A27" s="99" t="s">
        <v>64</v>
      </c>
      <c r="B27" s="348">
        <v>3.1</v>
      </c>
      <c r="C27" s="349">
        <f t="shared" si="1"/>
        <v>30272368.499100003</v>
      </c>
      <c r="D27" s="350">
        <f>'CENSO 2020'!C29</f>
        <v>65229</v>
      </c>
      <c r="E27" s="351">
        <f t="shared" si="2"/>
        <v>5.2797509583506006</v>
      </c>
      <c r="F27" s="352">
        <f t="shared" si="3"/>
        <v>3.1678505750103603</v>
      </c>
      <c r="G27" s="353">
        <f>Datos!$I$12*FGP!F27/100</f>
        <v>18140019.124795485</v>
      </c>
      <c r="H27" s="354">
        <f>'Predial y Agua'!D28</f>
        <v>45690433</v>
      </c>
      <c r="I27" s="355">
        <f>'Predial y Agua'!G28</f>
        <v>40126137</v>
      </c>
      <c r="J27" s="351">
        <f t="shared" si="4"/>
        <v>0.87821748154586321</v>
      </c>
      <c r="K27" s="351">
        <f t="shared" si="5"/>
        <v>4.3257954027125782</v>
      </c>
      <c r="L27" s="351">
        <f t="shared" si="6"/>
        <v>1.2977386208137733</v>
      </c>
      <c r="M27" s="356">
        <f>Datos!$I$12*FGP!L27/100</f>
        <v>7431222.7938562334</v>
      </c>
      <c r="N27" s="357">
        <f t="shared" si="7"/>
        <v>25571241.918651719</v>
      </c>
      <c r="O27" s="351">
        <f t="shared" si="8"/>
        <v>4.4655891958241334</v>
      </c>
      <c r="P27" s="351">
        <f t="shared" si="9"/>
        <v>0.22393461560125619</v>
      </c>
      <c r="Q27" s="351">
        <f t="shared" si="10"/>
        <v>3.5473004134980548</v>
      </c>
      <c r="R27" s="351">
        <f t="shared" si="11"/>
        <v>0.35473004134980551</v>
      </c>
      <c r="S27" s="358">
        <f>Datos!$I$12*FGP!R27/100</f>
        <v>2031285.7509713569</v>
      </c>
      <c r="T27" s="359">
        <f t="shared" si="12"/>
        <v>57874896.168723077</v>
      </c>
      <c r="U27" s="92">
        <f t="shared" si="13"/>
        <v>4.8203192371739387</v>
      </c>
      <c r="V27" s="93"/>
      <c r="W27" s="94">
        <v>1.0459205946760619</v>
      </c>
      <c r="X27" s="94">
        <f t="shared" si="0"/>
        <v>-0.1677031131301987</v>
      </c>
      <c r="Y27" s="95"/>
      <c r="Z27" s="95"/>
      <c r="AA27" s="93"/>
      <c r="AB27" s="93"/>
    </row>
    <row r="28" spans="1:28" s="5" customFormat="1" ht="16.5" customHeight="1" thickBot="1" x14ac:dyDescent="0.3">
      <c r="A28" s="100" t="s">
        <v>65</v>
      </c>
      <c r="B28" s="512">
        <f>SUM(B8:B27)</f>
        <v>100</v>
      </c>
      <c r="C28" s="513">
        <f>Datos!I10*22.5%</f>
        <v>976528016.10000002</v>
      </c>
      <c r="D28" s="259">
        <f>SUM(D8:D27)</f>
        <v>1235456</v>
      </c>
      <c r="E28" s="260">
        <f>SUM(E8:E27)</f>
        <v>100</v>
      </c>
      <c r="F28" s="261">
        <f t="shared" ref="F28:M28" si="14">SUM(F8:F27)</f>
        <v>59.999999999999993</v>
      </c>
      <c r="G28" s="262">
        <f>SUM(G8:G27)</f>
        <v>343577173.77000004</v>
      </c>
      <c r="H28" s="263">
        <f t="shared" si="14"/>
        <v>795617286</v>
      </c>
      <c r="I28" s="264">
        <f t="shared" si="14"/>
        <v>718357273</v>
      </c>
      <c r="J28" s="260">
        <f t="shared" si="14"/>
        <v>20.30187283002703</v>
      </c>
      <c r="K28" s="265">
        <f t="shared" si="14"/>
        <v>100.00000000000001</v>
      </c>
      <c r="L28" s="261">
        <f t="shared" si="14"/>
        <v>30.000000000000004</v>
      </c>
      <c r="M28" s="266">
        <f t="shared" si="14"/>
        <v>171788586.88500002</v>
      </c>
      <c r="N28" s="267">
        <f t="shared" si="7"/>
        <v>515365760.65500009</v>
      </c>
      <c r="O28" s="265">
        <f t="shared" ref="O28:T28" si="15">SUM(O8:O27)</f>
        <v>89.999999999999986</v>
      </c>
      <c r="P28" s="265">
        <f t="shared" si="15"/>
        <v>6.3128179036979377</v>
      </c>
      <c r="Q28" s="265">
        <f t="shared" si="15"/>
        <v>99.999999999999972</v>
      </c>
      <c r="R28" s="265">
        <f t="shared" si="15"/>
        <v>9.9999999999999964</v>
      </c>
      <c r="S28" s="266">
        <f>Datos!I17</f>
        <v>57262862.295000009</v>
      </c>
      <c r="T28" s="360">
        <f t="shared" si="15"/>
        <v>1549156639.0500002</v>
      </c>
      <c r="U28" s="92">
        <f t="shared" si="13"/>
        <v>100</v>
      </c>
      <c r="V28" s="93"/>
      <c r="W28" s="94">
        <f>SUM(W8:W27)</f>
        <v>24.538698253136822</v>
      </c>
      <c r="X28" s="94"/>
      <c r="Y28" s="95"/>
      <c r="Z28" s="95"/>
      <c r="AA28" s="93"/>
      <c r="AB28" s="93"/>
    </row>
    <row r="29" spans="1:28" s="5" customFormat="1" ht="16.5" customHeight="1" x14ac:dyDescent="0.25">
      <c r="A29" s="1033" t="s">
        <v>295</v>
      </c>
      <c r="B29" s="1033"/>
      <c r="C29" s="1033"/>
      <c r="D29" s="1033"/>
      <c r="E29" s="1033"/>
      <c r="F29" s="1033"/>
      <c r="G29" s="1033"/>
      <c r="H29" s="1033"/>
      <c r="I29" s="1033"/>
      <c r="J29" s="1033"/>
      <c r="K29" s="1033"/>
      <c r="L29" s="1033"/>
      <c r="M29" s="1033"/>
      <c r="N29" s="1033"/>
      <c r="O29" s="1033"/>
      <c r="P29" s="1033"/>
      <c r="Q29" s="1033"/>
      <c r="R29" s="1033"/>
      <c r="S29" s="1033"/>
      <c r="T29" s="1033"/>
      <c r="U29" s="514"/>
      <c r="V29" s="93"/>
      <c r="W29" s="94"/>
      <c r="X29" s="94"/>
      <c r="Y29" s="95"/>
      <c r="Z29" s="95"/>
      <c r="AA29" s="93"/>
      <c r="AB29" s="93"/>
    </row>
    <row r="30" spans="1:28" s="5" customFormat="1" ht="21.75" customHeight="1" x14ac:dyDescent="0.25">
      <c r="A30" s="515"/>
      <c r="B30" s="525" t="s">
        <v>80</v>
      </c>
      <c r="C30" s="515"/>
      <c r="D30" s="515"/>
      <c r="E30" s="515"/>
      <c r="F30" s="515"/>
      <c r="G30" s="516"/>
      <c r="H30" s="517"/>
      <c r="I30" s="516"/>
      <c r="J30" s="518"/>
      <c r="K30" s="518"/>
      <c r="L30" s="518"/>
      <c r="M30" s="518"/>
      <c r="N30" s="518"/>
      <c r="O30" s="518"/>
      <c r="P30" s="518"/>
      <c r="Q30" s="518"/>
      <c r="R30" s="518"/>
      <c r="S30" s="518"/>
      <c r="T30" s="518"/>
      <c r="X30" s="94"/>
    </row>
    <row r="31" spans="1:28" s="5" customFormat="1" ht="27" customHeight="1" x14ac:dyDescent="0.25">
      <c r="A31" s="515"/>
      <c r="B31" s="1032" t="s">
        <v>297</v>
      </c>
      <c r="C31" s="1032"/>
      <c r="D31" s="1032"/>
      <c r="E31" s="1032"/>
      <c r="F31" s="1032"/>
      <c r="G31" s="1032"/>
      <c r="H31" s="1032"/>
      <c r="I31" s="1032"/>
      <c r="J31" s="1032"/>
      <c r="K31" s="1032"/>
      <c r="L31" s="1032"/>
      <c r="M31" s="1032"/>
      <c r="N31" s="1032"/>
      <c r="O31" s="1032"/>
      <c r="P31" s="1032"/>
      <c r="Q31" s="1032"/>
      <c r="R31" s="1032"/>
      <c r="S31" s="1032"/>
      <c r="T31" s="1032"/>
      <c r="X31" s="94"/>
    </row>
    <row r="32" spans="1:28" ht="15" customHeight="1" x14ac:dyDescent="0.25">
      <c r="A32" s="519"/>
      <c r="B32" s="1034" t="s">
        <v>377</v>
      </c>
      <c r="C32" s="1034"/>
      <c r="D32" s="1034"/>
      <c r="E32" s="1034"/>
      <c r="F32" s="1034"/>
      <c r="G32" s="1034"/>
      <c r="H32" s="1034"/>
      <c r="I32" s="1034"/>
      <c r="J32" s="1034"/>
      <c r="K32" s="1034"/>
      <c r="L32" s="1034"/>
      <c r="M32" s="1034"/>
      <c r="N32" s="1034"/>
      <c r="O32" s="1034"/>
      <c r="P32" s="1034"/>
      <c r="Q32" s="1034"/>
      <c r="R32" s="1034"/>
      <c r="S32" s="1034"/>
      <c r="T32" s="1034"/>
    </row>
    <row r="33" spans="1:20" x14ac:dyDescent="0.25">
      <c r="A33" s="519"/>
      <c r="B33" s="1034" t="s">
        <v>298</v>
      </c>
      <c r="C33" s="1034"/>
      <c r="D33" s="1034"/>
      <c r="E33" s="1034"/>
      <c r="F33" s="1034"/>
      <c r="G33" s="1034"/>
      <c r="H33" s="1034"/>
      <c r="I33" s="1034"/>
      <c r="J33" s="1034"/>
      <c r="K33" s="1034"/>
      <c r="L33" s="1034"/>
      <c r="M33" s="1034"/>
      <c r="N33" s="1034"/>
      <c r="O33" s="1034"/>
      <c r="P33" s="1034"/>
      <c r="Q33" s="1034"/>
      <c r="R33" s="1034"/>
      <c r="S33" s="1034"/>
      <c r="T33" s="1034"/>
    </row>
    <row r="34" spans="1:20" ht="15" customHeight="1" x14ac:dyDescent="0.25">
      <c r="A34" s="519"/>
      <c r="B34" s="1031"/>
      <c r="C34" s="1031"/>
      <c r="D34" s="1031"/>
      <c r="E34" s="1031"/>
      <c r="F34" s="1031"/>
      <c r="G34" s="1031"/>
      <c r="H34" s="1031"/>
      <c r="I34" s="1031"/>
      <c r="J34" s="1031"/>
      <c r="K34" s="1031"/>
      <c r="L34" s="1031"/>
      <c r="M34" s="1031"/>
      <c r="N34" s="1031"/>
      <c r="O34" s="1031"/>
      <c r="P34" s="1031"/>
      <c r="Q34" s="1031"/>
      <c r="R34" s="1031"/>
      <c r="S34" s="1031"/>
      <c r="T34" s="1031"/>
    </row>
    <row r="38" spans="1:20" x14ac:dyDescent="0.25">
      <c r="G38" s="345"/>
    </row>
    <row r="43" spans="1:20" x14ac:dyDescent="0.25">
      <c r="L43" s="78"/>
    </row>
    <row r="44" spans="1:20" x14ac:dyDescent="0.25">
      <c r="L44" s="78"/>
    </row>
    <row r="45" spans="1:20" x14ac:dyDescent="0.25">
      <c r="L45" s="78"/>
    </row>
    <row r="46" spans="1:20" x14ac:dyDescent="0.25">
      <c r="L46" s="78"/>
    </row>
    <row r="47" spans="1:20" x14ac:dyDescent="0.25">
      <c r="L47" s="78"/>
    </row>
    <row r="48" spans="1:20" x14ac:dyDescent="0.25">
      <c r="L48" s="78"/>
    </row>
    <row r="49" spans="12:12" x14ac:dyDescent="0.25">
      <c r="L49" s="78"/>
    </row>
    <row r="50" spans="12:12" x14ac:dyDescent="0.25">
      <c r="L50" s="78"/>
    </row>
    <row r="51" spans="12:12" x14ac:dyDescent="0.25">
      <c r="L51" s="78"/>
    </row>
    <row r="52" spans="12:12" x14ac:dyDescent="0.25">
      <c r="L52" s="78"/>
    </row>
    <row r="53" spans="12:12" x14ac:dyDescent="0.25">
      <c r="L53" s="78"/>
    </row>
    <row r="54" spans="12:12" x14ac:dyDescent="0.25">
      <c r="L54" s="78"/>
    </row>
    <row r="55" spans="12:12" x14ac:dyDescent="0.25">
      <c r="L55" s="78"/>
    </row>
    <row r="56" spans="12:12" x14ac:dyDescent="0.25">
      <c r="L56" s="78"/>
    </row>
    <row r="57" spans="12:12" x14ac:dyDescent="0.25">
      <c r="L57" s="78"/>
    </row>
    <row r="58" spans="12:12" x14ac:dyDescent="0.25">
      <c r="L58" s="78"/>
    </row>
    <row r="59" spans="12:12" x14ac:dyDescent="0.25">
      <c r="L59" s="78"/>
    </row>
    <row r="60" spans="12:12" x14ac:dyDescent="0.25">
      <c r="L60" s="78"/>
    </row>
    <row r="61" spans="12:12" x14ac:dyDescent="0.25">
      <c r="L61" s="78"/>
    </row>
    <row r="62" spans="12:12" x14ac:dyDescent="0.25">
      <c r="L62" s="78"/>
    </row>
    <row r="63" spans="12:12" x14ac:dyDescent="0.25">
      <c r="L63" s="78"/>
    </row>
  </sheetData>
  <mergeCells count="25">
    <mergeCell ref="B34:T34"/>
    <mergeCell ref="B31:T31"/>
    <mergeCell ref="A29:T29"/>
    <mergeCell ref="B32:T32"/>
    <mergeCell ref="B33:T33"/>
    <mergeCell ref="U3:U7"/>
    <mergeCell ref="E4:E5"/>
    <mergeCell ref="D3:G3"/>
    <mergeCell ref="H3:M3"/>
    <mergeCell ref="N3:S3"/>
    <mergeCell ref="R4:R6"/>
    <mergeCell ref="B3:B6"/>
    <mergeCell ref="A1:T1"/>
    <mergeCell ref="A3:A7"/>
    <mergeCell ref="H4:J5"/>
    <mergeCell ref="K4:K6"/>
    <mergeCell ref="N4:N6"/>
    <mergeCell ref="M4:M6"/>
    <mergeCell ref="O4:O6"/>
    <mergeCell ref="P4:P6"/>
    <mergeCell ref="Q4:Q6"/>
    <mergeCell ref="S4:S6"/>
    <mergeCell ref="C3:C6"/>
    <mergeCell ref="G4:G6"/>
    <mergeCell ref="T3:T6"/>
  </mergeCells>
  <pageMargins left="0.70866141732283472" right="0.21" top="0.74803149606299213" bottom="0.74803149606299213" header="0.31496062992125984" footer="0.31496062992125984"/>
  <pageSetup paperSize="5" scale="58" orientation="landscape" r:id="rId1"/>
  <ignoredErrors>
    <ignoredError sqref="B7 D7 F7 H7" numberStoredAsText="1"/>
    <ignoredError sqref="S28" formula="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7030A0"/>
  </sheetPr>
  <dimension ref="A1:O34"/>
  <sheetViews>
    <sheetView workbookViewId="0">
      <selection activeCell="C33" sqref="C33"/>
    </sheetView>
  </sheetViews>
  <sheetFormatPr baseColWidth="10" defaultRowHeight="12.75" x14ac:dyDescent="0.2"/>
  <cols>
    <col min="1" max="1" width="15.42578125" style="640" customWidth="1"/>
    <col min="2" max="2" width="9.28515625" style="640" customWidth="1"/>
    <col min="3" max="3" width="11.85546875" style="640" bestFit="1" customWidth="1"/>
    <col min="4" max="5" width="11.7109375" style="640" bestFit="1" customWidth="1"/>
    <col min="6" max="6" width="12.7109375" style="640" bestFit="1" customWidth="1"/>
    <col min="7" max="8" width="11.7109375" style="640" bestFit="1" customWidth="1"/>
    <col min="9" max="9" width="11.85546875" style="640" bestFit="1" customWidth="1"/>
    <col min="10" max="11" width="11.7109375" style="640" bestFit="1" customWidth="1"/>
    <col min="12" max="12" width="11.85546875" style="640" bestFit="1" customWidth="1"/>
    <col min="13" max="14" width="11.7109375" style="640" bestFit="1" customWidth="1"/>
    <col min="15" max="15" width="13.140625" style="640" bestFit="1" customWidth="1"/>
    <col min="16" max="16384" width="11.42578125" style="640"/>
  </cols>
  <sheetData>
    <row r="1" spans="1:15" ht="15.75" x14ac:dyDescent="0.25">
      <c r="A1" s="1235" t="s">
        <v>277</v>
      </c>
      <c r="B1" s="1235"/>
      <c r="C1" s="1235"/>
      <c r="D1" s="1235"/>
      <c r="E1" s="1235"/>
      <c r="F1" s="1235"/>
      <c r="G1" s="1235"/>
      <c r="H1" s="1235"/>
      <c r="I1" s="1235"/>
      <c r="J1" s="1235"/>
      <c r="K1" s="1235"/>
      <c r="L1" s="1235"/>
      <c r="M1" s="1235"/>
      <c r="N1" s="1235"/>
      <c r="O1" s="1235"/>
    </row>
    <row r="2" spans="1:15" x14ac:dyDescent="0.2">
      <c r="A2" s="1236" t="s">
        <v>278</v>
      </c>
      <c r="B2" s="1236"/>
      <c r="C2" s="1236"/>
      <c r="D2" s="1236"/>
      <c r="E2" s="1236"/>
      <c r="F2" s="1236"/>
      <c r="G2" s="1236"/>
      <c r="H2" s="1236"/>
      <c r="I2" s="1236"/>
      <c r="J2" s="1236"/>
      <c r="K2" s="1236"/>
      <c r="L2" s="1236"/>
      <c r="M2" s="1236"/>
      <c r="N2" s="1236"/>
      <c r="O2" s="1236"/>
    </row>
    <row r="3" spans="1:15" x14ac:dyDescent="0.2">
      <c r="A3" s="1236" t="s">
        <v>279</v>
      </c>
      <c r="B3" s="1236"/>
      <c r="C3" s="1236"/>
      <c r="D3" s="1236"/>
      <c r="E3" s="1236"/>
      <c r="F3" s="1236"/>
      <c r="G3" s="1236"/>
      <c r="H3" s="1236"/>
      <c r="I3" s="1236"/>
      <c r="J3" s="1236"/>
      <c r="K3" s="1236"/>
      <c r="L3" s="1236"/>
      <c r="M3" s="1236"/>
      <c r="N3" s="1236"/>
      <c r="O3" s="1236"/>
    </row>
    <row r="4" spans="1:15" x14ac:dyDescent="0.2">
      <c r="A4" s="1237" t="s">
        <v>355</v>
      </c>
      <c r="B4" s="1237"/>
      <c r="C4" s="1237"/>
      <c r="D4" s="1237"/>
      <c r="E4" s="1237"/>
      <c r="F4" s="1237"/>
      <c r="G4" s="1237"/>
      <c r="H4" s="1237"/>
      <c r="I4" s="1237"/>
      <c r="J4" s="1237"/>
      <c r="K4" s="1237"/>
      <c r="L4" s="1237"/>
      <c r="M4" s="1237"/>
      <c r="N4" s="1237"/>
      <c r="O4" s="1237"/>
    </row>
    <row r="5" spans="1:15" ht="13.5" thickBot="1" x14ac:dyDescent="0.25"/>
    <row r="6" spans="1:15" ht="23.25" thickBot="1" x14ac:dyDescent="0.25">
      <c r="A6" s="641" t="s">
        <v>346</v>
      </c>
      <c r="B6" s="642" t="s">
        <v>281</v>
      </c>
      <c r="C6" s="641" t="s">
        <v>1</v>
      </c>
      <c r="D6" s="643" t="s">
        <v>2</v>
      </c>
      <c r="E6" s="641" t="s">
        <v>3</v>
      </c>
      <c r="F6" s="643" t="s">
        <v>4</v>
      </c>
      <c r="G6" s="641" t="s">
        <v>5</v>
      </c>
      <c r="H6" s="641" t="s">
        <v>6</v>
      </c>
      <c r="I6" s="641" t="s">
        <v>7</v>
      </c>
      <c r="J6" s="643" t="s">
        <v>8</v>
      </c>
      <c r="K6" s="641" t="s">
        <v>9</v>
      </c>
      <c r="L6" s="643" t="s">
        <v>10</v>
      </c>
      <c r="M6" s="641" t="s">
        <v>11</v>
      </c>
      <c r="N6" s="641" t="s">
        <v>12</v>
      </c>
      <c r="O6" s="644" t="s">
        <v>168</v>
      </c>
    </row>
    <row r="7" spans="1:15" x14ac:dyDescent="0.2">
      <c r="A7" s="645" t="s">
        <v>282</v>
      </c>
      <c r="B7" s="656">
        <v>3.6499999999999998E-2</v>
      </c>
      <c r="C7" s="672">
        <v>154257.12253206508</v>
      </c>
      <c r="D7" s="673">
        <v>120162.95703191035</v>
      </c>
      <c r="E7" s="672">
        <v>120162.95703191035</v>
      </c>
      <c r="F7" s="673">
        <v>181543.94365766429</v>
      </c>
      <c r="G7" s="672">
        <v>120162.95703191035</v>
      </c>
      <c r="H7" s="672">
        <v>120162.95703191035</v>
      </c>
      <c r="I7" s="674">
        <v>152643.60360410286</v>
      </c>
      <c r="J7" s="673">
        <v>120162.95703191037</v>
      </c>
      <c r="K7" s="672">
        <v>120162.95703191037</v>
      </c>
      <c r="L7" s="673">
        <v>159154.33645088488</v>
      </c>
      <c r="M7" s="672">
        <v>120162.9570319104</v>
      </c>
      <c r="N7" s="672">
        <v>120162.9570319104</v>
      </c>
      <c r="O7" s="675">
        <f t="shared" ref="O7:O27" si="0">SUM(C7:N7)</f>
        <v>1608902.6624999996</v>
      </c>
    </row>
    <row r="8" spans="1:15" x14ac:dyDescent="0.2">
      <c r="A8" s="645" t="s">
        <v>147</v>
      </c>
      <c r="B8" s="657">
        <v>1.49E-2</v>
      </c>
      <c r="C8" s="672">
        <v>62970.715773363561</v>
      </c>
      <c r="D8" s="673">
        <v>49052.82355549217</v>
      </c>
      <c r="E8" s="672">
        <v>49052.82355549217</v>
      </c>
      <c r="F8" s="673">
        <v>74109.719465731454</v>
      </c>
      <c r="G8" s="672">
        <v>49052.82355549217</v>
      </c>
      <c r="H8" s="672">
        <v>49052.82355549217</v>
      </c>
      <c r="I8" s="672">
        <v>62312.046402770757</v>
      </c>
      <c r="J8" s="673">
        <v>49052.823555492178</v>
      </c>
      <c r="K8" s="672">
        <v>49052.823555492178</v>
      </c>
      <c r="L8" s="673">
        <v>64969.852414196837</v>
      </c>
      <c r="M8" s="672">
        <v>49052.823555492192</v>
      </c>
      <c r="N8" s="672">
        <v>49052.823555492192</v>
      </c>
      <c r="O8" s="675">
        <f t="shared" si="0"/>
        <v>656784.92249999999</v>
      </c>
    </row>
    <row r="9" spans="1:15" x14ac:dyDescent="0.2">
      <c r="A9" s="645" t="s">
        <v>148</v>
      </c>
      <c r="B9" s="657">
        <v>1.09E-2</v>
      </c>
      <c r="C9" s="672">
        <v>46065.825632863278</v>
      </c>
      <c r="D9" s="673">
        <v>35884.280319118436</v>
      </c>
      <c r="E9" s="672">
        <v>35884.280319118436</v>
      </c>
      <c r="F9" s="673">
        <v>54214.492763521666</v>
      </c>
      <c r="G9" s="672">
        <v>35884.280319118436</v>
      </c>
      <c r="H9" s="672">
        <v>35884.280319118436</v>
      </c>
      <c r="I9" s="672">
        <v>45583.980254375922</v>
      </c>
      <c r="J9" s="673">
        <v>35884.280319118443</v>
      </c>
      <c r="K9" s="672">
        <v>35884.280319118443</v>
      </c>
      <c r="L9" s="673">
        <v>47528.281296291651</v>
      </c>
      <c r="M9" s="672">
        <v>35884.28031911845</v>
      </c>
      <c r="N9" s="672">
        <v>35884.28031911845</v>
      </c>
      <c r="O9" s="675">
        <f t="shared" si="0"/>
        <v>480466.82250000013</v>
      </c>
    </row>
    <row r="10" spans="1:15" x14ac:dyDescent="0.2">
      <c r="A10" s="645" t="s">
        <v>283</v>
      </c>
      <c r="B10" s="657">
        <v>8.8200000000000001E-2</v>
      </c>
      <c r="C10" s="672">
        <v>372752.82759803126</v>
      </c>
      <c r="D10" s="673">
        <v>290366.37836204091</v>
      </c>
      <c r="E10" s="672">
        <v>290366.37836204091</v>
      </c>
      <c r="F10" s="673">
        <v>438689.74878372578</v>
      </c>
      <c r="G10" s="672">
        <v>290366.37836204091</v>
      </c>
      <c r="H10" s="672">
        <v>290366.37836204091</v>
      </c>
      <c r="I10" s="672">
        <v>368853.85857210611</v>
      </c>
      <c r="J10" s="673">
        <v>290366.37836204097</v>
      </c>
      <c r="K10" s="672">
        <v>290366.37836204097</v>
      </c>
      <c r="L10" s="673">
        <v>384586.6431498095</v>
      </c>
      <c r="M10" s="672">
        <v>290366.37836204102</v>
      </c>
      <c r="N10" s="672">
        <v>290366.37836204102</v>
      </c>
      <c r="O10" s="675">
        <f t="shared" si="0"/>
        <v>3887814.105</v>
      </c>
    </row>
    <row r="11" spans="1:15" x14ac:dyDescent="0.2">
      <c r="A11" s="645" t="s">
        <v>150</v>
      </c>
      <c r="B11" s="657">
        <v>6.6299999999999998E-2</v>
      </c>
      <c r="C11" s="672">
        <v>280198.55407879222</v>
      </c>
      <c r="D11" s="673">
        <v>218268.60414289468</v>
      </c>
      <c r="E11" s="672">
        <v>218268.60414289468</v>
      </c>
      <c r="F11" s="673">
        <v>329763.38258912717</v>
      </c>
      <c r="G11" s="672">
        <v>218268.60414289468</v>
      </c>
      <c r="H11" s="672">
        <v>218268.60414289468</v>
      </c>
      <c r="I11" s="672">
        <v>277267.69640964438</v>
      </c>
      <c r="J11" s="673">
        <v>218268.60414289474</v>
      </c>
      <c r="K11" s="672">
        <v>218268.60414289474</v>
      </c>
      <c r="L11" s="673">
        <v>289094.04127927852</v>
      </c>
      <c r="M11" s="672">
        <v>218268.60414289479</v>
      </c>
      <c r="N11" s="672">
        <v>218268.60414289479</v>
      </c>
      <c r="O11" s="675">
        <f t="shared" si="0"/>
        <v>2922472.5075000003</v>
      </c>
    </row>
    <row r="12" spans="1:15" x14ac:dyDescent="0.2">
      <c r="A12" s="645" t="s">
        <v>284</v>
      </c>
      <c r="B12" s="657">
        <v>3.2199999999999999E-2</v>
      </c>
      <c r="C12" s="672">
        <v>136084.36563102729</v>
      </c>
      <c r="D12" s="673">
        <v>106006.77305280858</v>
      </c>
      <c r="E12" s="672">
        <v>106006.77305280858</v>
      </c>
      <c r="F12" s="673">
        <v>160156.57495278877</v>
      </c>
      <c r="G12" s="672">
        <v>106006.77305280858</v>
      </c>
      <c r="H12" s="672">
        <v>106006.77305280858</v>
      </c>
      <c r="I12" s="672">
        <v>134660.93249457842</v>
      </c>
      <c r="J12" s="673">
        <v>106006.7730528086</v>
      </c>
      <c r="K12" s="672">
        <v>106006.7730528086</v>
      </c>
      <c r="L12" s="673">
        <v>140404.6474991368</v>
      </c>
      <c r="M12" s="672">
        <v>106006.77305280862</v>
      </c>
      <c r="N12" s="672">
        <v>106006.77305280862</v>
      </c>
      <c r="O12" s="675">
        <f t="shared" si="0"/>
        <v>1419360.7050000001</v>
      </c>
    </row>
    <row r="13" spans="1:15" x14ac:dyDescent="0.2">
      <c r="A13" s="645" t="s">
        <v>152</v>
      </c>
      <c r="B13" s="657">
        <v>1.11E-2</v>
      </c>
      <c r="C13" s="672">
        <v>46911.070139888296</v>
      </c>
      <c r="D13" s="673">
        <v>36542.707480937126</v>
      </c>
      <c r="E13" s="672">
        <v>36542.707480937126</v>
      </c>
      <c r="F13" s="673">
        <v>55209.254098632155</v>
      </c>
      <c r="G13" s="672">
        <v>36542.707480937126</v>
      </c>
      <c r="H13" s="672">
        <v>36542.707480937126</v>
      </c>
      <c r="I13" s="672">
        <v>46420.383561795665</v>
      </c>
      <c r="J13" s="673">
        <v>36542.707480937126</v>
      </c>
      <c r="K13" s="672">
        <v>36542.707480937126</v>
      </c>
      <c r="L13" s="673">
        <v>48400.359852186913</v>
      </c>
      <c r="M13" s="672">
        <v>36542.707480937141</v>
      </c>
      <c r="N13" s="672">
        <v>36542.707480937141</v>
      </c>
      <c r="O13" s="675">
        <f t="shared" si="0"/>
        <v>489282.7275000001</v>
      </c>
    </row>
    <row r="14" spans="1:15" x14ac:dyDescent="0.2">
      <c r="A14" s="645" t="s">
        <v>153</v>
      </c>
      <c r="B14" s="657">
        <v>2.7099999999999999E-2</v>
      </c>
      <c r="C14" s="672">
        <v>114530.63070188943</v>
      </c>
      <c r="D14" s="673">
        <v>89216.880426432064</v>
      </c>
      <c r="E14" s="672">
        <v>89216.880426432064</v>
      </c>
      <c r="F14" s="673">
        <v>134790.16090747129</v>
      </c>
      <c r="G14" s="672">
        <v>89216.880426432064</v>
      </c>
      <c r="H14" s="672">
        <v>89216.880426432064</v>
      </c>
      <c r="I14" s="672">
        <v>113332.64815537501</v>
      </c>
      <c r="J14" s="673">
        <v>89216.880426432079</v>
      </c>
      <c r="K14" s="672">
        <v>89216.880426432079</v>
      </c>
      <c r="L14" s="673">
        <v>118166.64432380768</v>
      </c>
      <c r="M14" s="672">
        <v>89216.880426432108</v>
      </c>
      <c r="N14" s="672">
        <v>89216.880426432108</v>
      </c>
      <c r="O14" s="675">
        <f t="shared" si="0"/>
        <v>1194555.1274999999</v>
      </c>
    </row>
    <row r="15" spans="1:15" x14ac:dyDescent="0.2">
      <c r="A15" s="645" t="s">
        <v>154</v>
      </c>
      <c r="B15" s="657">
        <v>1.6899999999999998E-2</v>
      </c>
      <c r="C15" s="672">
        <v>71423.160843613703</v>
      </c>
      <c r="D15" s="673">
        <v>55637.095173679038</v>
      </c>
      <c r="E15" s="672">
        <v>55637.095173679038</v>
      </c>
      <c r="F15" s="673">
        <v>84057.332816836337</v>
      </c>
      <c r="G15" s="672">
        <v>55637.095173679038</v>
      </c>
      <c r="H15" s="672">
        <v>55637.095173679038</v>
      </c>
      <c r="I15" s="672">
        <v>70676.079476968167</v>
      </c>
      <c r="J15" s="673">
        <v>55637.095173679045</v>
      </c>
      <c r="K15" s="672">
        <v>55637.095173679045</v>
      </c>
      <c r="L15" s="673">
        <v>73690.637973149423</v>
      </c>
      <c r="M15" s="672">
        <v>55637.095173679059</v>
      </c>
      <c r="N15" s="672">
        <v>55637.095173679059</v>
      </c>
      <c r="O15" s="675">
        <f t="shared" si="0"/>
        <v>744943.97250000003</v>
      </c>
    </row>
    <row r="16" spans="1:15" x14ac:dyDescent="0.2">
      <c r="A16" s="645" t="s">
        <v>155</v>
      </c>
      <c r="B16" s="657">
        <v>1.2699999999999999E-2</v>
      </c>
      <c r="C16" s="672">
        <v>53673.026196088402</v>
      </c>
      <c r="D16" s="673">
        <v>41810.124775486613</v>
      </c>
      <c r="E16" s="672">
        <v>41810.124775486613</v>
      </c>
      <c r="F16" s="673">
        <v>63167.344779516068</v>
      </c>
      <c r="G16" s="672">
        <v>41810.124775486613</v>
      </c>
      <c r="H16" s="672">
        <v>41810.124775486613</v>
      </c>
      <c r="I16" s="672">
        <v>53111.610021153596</v>
      </c>
      <c r="J16" s="673">
        <v>41810.12477548662</v>
      </c>
      <c r="K16" s="672">
        <v>41810.12477548662</v>
      </c>
      <c r="L16" s="673">
        <v>55376.988299348981</v>
      </c>
      <c r="M16" s="672">
        <v>41810.124775486634</v>
      </c>
      <c r="N16" s="672">
        <v>41810.124775486634</v>
      </c>
      <c r="O16" s="675">
        <f t="shared" si="0"/>
        <v>559809.96750000003</v>
      </c>
    </row>
    <row r="17" spans="1:15" x14ac:dyDescent="0.2">
      <c r="A17" s="645" t="s">
        <v>156</v>
      </c>
      <c r="B17" s="657">
        <v>3.39E-2</v>
      </c>
      <c r="C17" s="672">
        <v>143268.9439407399</v>
      </c>
      <c r="D17" s="673">
        <v>111603.40392826742</v>
      </c>
      <c r="E17" s="672">
        <v>111603.40392826742</v>
      </c>
      <c r="F17" s="673">
        <v>168612.04630122794</v>
      </c>
      <c r="G17" s="672">
        <v>111603.40392826742</v>
      </c>
      <c r="H17" s="672">
        <v>111603.40392826742</v>
      </c>
      <c r="I17" s="672">
        <v>141770.36060764623</v>
      </c>
      <c r="J17" s="673">
        <v>111603.40392826743</v>
      </c>
      <c r="K17" s="672">
        <v>111603.40392826743</v>
      </c>
      <c r="L17" s="673">
        <v>147817.3152242465</v>
      </c>
      <c r="M17" s="672">
        <v>111603.40392826746</v>
      </c>
      <c r="N17" s="672">
        <v>111603.40392826746</v>
      </c>
      <c r="O17" s="675">
        <f t="shared" si="0"/>
        <v>1494295.8975000002</v>
      </c>
    </row>
    <row r="18" spans="1:15" x14ac:dyDescent="0.2">
      <c r="A18" s="645" t="s">
        <v>157</v>
      </c>
      <c r="B18" s="657">
        <v>2.2100000000000002E-2</v>
      </c>
      <c r="C18" s="672">
        <v>93399.518026264079</v>
      </c>
      <c r="D18" s="673">
        <v>72756.201380964907</v>
      </c>
      <c r="E18" s="672">
        <v>72756.201380964907</v>
      </c>
      <c r="F18" s="673">
        <v>109921.12752970908</v>
      </c>
      <c r="G18" s="672">
        <v>72756.201380964907</v>
      </c>
      <c r="H18" s="672">
        <v>72756.201380964907</v>
      </c>
      <c r="I18" s="672">
        <v>92422.565469881461</v>
      </c>
      <c r="J18" s="673">
        <v>72756.201380964922</v>
      </c>
      <c r="K18" s="672">
        <v>72756.201380964922</v>
      </c>
      <c r="L18" s="673">
        <v>96364.680426426188</v>
      </c>
      <c r="M18" s="672">
        <v>72756.201380964936</v>
      </c>
      <c r="N18" s="672">
        <v>72756.201380964936</v>
      </c>
      <c r="O18" s="675">
        <f t="shared" si="0"/>
        <v>974157.50250000018</v>
      </c>
    </row>
    <row r="19" spans="1:15" x14ac:dyDescent="0.2">
      <c r="A19" s="645" t="s">
        <v>158</v>
      </c>
      <c r="B19" s="657">
        <v>3.95E-2</v>
      </c>
      <c r="C19" s="672">
        <v>166935.79013744032</v>
      </c>
      <c r="D19" s="673">
        <v>130039.36445919066</v>
      </c>
      <c r="E19" s="672">
        <v>130039.36445919066</v>
      </c>
      <c r="F19" s="673">
        <v>196465.36368432164</v>
      </c>
      <c r="G19" s="672">
        <v>130039.36445919066</v>
      </c>
      <c r="H19" s="672">
        <v>130039.36445919066</v>
      </c>
      <c r="I19" s="672">
        <v>165189.65321539898</v>
      </c>
      <c r="J19" s="673">
        <v>130039.36445919068</v>
      </c>
      <c r="K19" s="672">
        <v>130039.36445919068</v>
      </c>
      <c r="L19" s="673">
        <v>172235.51478931378</v>
      </c>
      <c r="M19" s="672">
        <v>130039.36445919071</v>
      </c>
      <c r="N19" s="672">
        <v>130039.36445919071</v>
      </c>
      <c r="O19" s="675">
        <f t="shared" si="0"/>
        <v>1741141.2375000003</v>
      </c>
    </row>
    <row r="20" spans="1:15" x14ac:dyDescent="0.2">
      <c r="A20" s="645" t="s">
        <v>285</v>
      </c>
      <c r="B20" s="657">
        <v>7.4999999999999997E-3</v>
      </c>
      <c r="C20" s="672">
        <v>31696.669013438033</v>
      </c>
      <c r="D20" s="673">
        <v>24691.018568200758</v>
      </c>
      <c r="E20" s="672">
        <v>24691.018568200758</v>
      </c>
      <c r="F20" s="673">
        <v>37303.550066643344</v>
      </c>
      <c r="G20" s="672">
        <v>24691.018568200758</v>
      </c>
      <c r="H20" s="672">
        <v>24691.018568200758</v>
      </c>
      <c r="I20" s="672">
        <v>31365.124028240312</v>
      </c>
      <c r="J20" s="673">
        <v>24691.018568200761</v>
      </c>
      <c r="K20" s="672">
        <v>24691.018568200761</v>
      </c>
      <c r="L20" s="673">
        <v>32702.945846072234</v>
      </c>
      <c r="M20" s="672">
        <v>24691.018568200769</v>
      </c>
      <c r="N20" s="672">
        <v>24691.018568200769</v>
      </c>
      <c r="O20" s="675">
        <f t="shared" si="0"/>
        <v>330596.4375</v>
      </c>
    </row>
    <row r="21" spans="1:15" x14ac:dyDescent="0.2">
      <c r="A21" s="645" t="s">
        <v>286</v>
      </c>
      <c r="B21" s="657">
        <v>2.2800000000000001E-2</v>
      </c>
      <c r="C21" s="672">
        <v>96357.873800851623</v>
      </c>
      <c r="D21" s="673">
        <v>75060.696447330309</v>
      </c>
      <c r="E21" s="672">
        <v>75060.696447330309</v>
      </c>
      <c r="F21" s="673">
        <v>113402.79220259578</v>
      </c>
      <c r="G21" s="672">
        <v>75060.696447330309</v>
      </c>
      <c r="H21" s="672">
        <v>75060.696447330309</v>
      </c>
      <c r="I21" s="672">
        <v>95349.977045850552</v>
      </c>
      <c r="J21" s="673">
        <v>75060.696447330323</v>
      </c>
      <c r="K21" s="672">
        <v>75060.696447330323</v>
      </c>
      <c r="L21" s="673">
        <v>99416.955372059601</v>
      </c>
      <c r="M21" s="672">
        <v>75060.696447330338</v>
      </c>
      <c r="N21" s="672">
        <v>75060.696447330338</v>
      </c>
      <c r="O21" s="675">
        <f t="shared" si="0"/>
        <v>1005013.1699999999</v>
      </c>
    </row>
    <row r="22" spans="1:15" x14ac:dyDescent="0.2">
      <c r="A22" s="645" t="s">
        <v>287</v>
      </c>
      <c r="B22" s="657">
        <v>8.8800000000000004E-2</v>
      </c>
      <c r="C22" s="672">
        <v>375288.56111910637</v>
      </c>
      <c r="D22" s="673">
        <v>292341.65984749701</v>
      </c>
      <c r="E22" s="672">
        <v>292341.65984749701</v>
      </c>
      <c r="F22" s="673">
        <v>441674.03278905724</v>
      </c>
      <c r="G22" s="672">
        <v>292341.65984749701</v>
      </c>
      <c r="H22" s="672">
        <v>292341.65984749701</v>
      </c>
      <c r="I22" s="672">
        <v>371363.06849436532</v>
      </c>
      <c r="J22" s="673">
        <v>292341.65984749701</v>
      </c>
      <c r="K22" s="672">
        <v>292341.65984749701</v>
      </c>
      <c r="L22" s="673">
        <v>387202.87881749531</v>
      </c>
      <c r="M22" s="672">
        <v>292341.65984749713</v>
      </c>
      <c r="N22" s="672">
        <v>292341.65984749713</v>
      </c>
      <c r="O22" s="675">
        <f t="shared" si="0"/>
        <v>3914261.8200000008</v>
      </c>
    </row>
    <row r="23" spans="1:15" x14ac:dyDescent="0.2">
      <c r="A23" s="645" t="s">
        <v>162</v>
      </c>
      <c r="B23" s="657">
        <v>3.9199999999999999E-2</v>
      </c>
      <c r="C23" s="672">
        <v>165667.92337690279</v>
      </c>
      <c r="D23" s="673">
        <v>129051.72371646263</v>
      </c>
      <c r="E23" s="672">
        <v>129051.72371646263</v>
      </c>
      <c r="F23" s="673">
        <v>194973.22168165588</v>
      </c>
      <c r="G23" s="672">
        <v>129051.72371646263</v>
      </c>
      <c r="H23" s="672">
        <v>129051.72371646263</v>
      </c>
      <c r="I23" s="672">
        <v>163935.04825426938</v>
      </c>
      <c r="J23" s="673">
        <v>129051.72371646264</v>
      </c>
      <c r="K23" s="672">
        <v>129051.72371646264</v>
      </c>
      <c r="L23" s="673">
        <v>170927.39695547087</v>
      </c>
      <c r="M23" s="672">
        <v>129051.72371646267</v>
      </c>
      <c r="N23" s="672">
        <v>129051.72371646267</v>
      </c>
      <c r="O23" s="675">
        <f t="shared" si="0"/>
        <v>1727917.3800000001</v>
      </c>
    </row>
    <row r="24" spans="1:15" x14ac:dyDescent="0.2">
      <c r="A24" s="645" t="s">
        <v>163</v>
      </c>
      <c r="B24" s="657">
        <v>0.35420000000000001</v>
      </c>
      <c r="C24" s="672">
        <v>1496928.0219413002</v>
      </c>
      <c r="D24" s="673">
        <v>1166074.5035808946</v>
      </c>
      <c r="E24" s="672">
        <v>1166074.5035808946</v>
      </c>
      <c r="F24" s="673">
        <v>1761722.3244806766</v>
      </c>
      <c r="G24" s="672">
        <v>1166074.5035808946</v>
      </c>
      <c r="H24" s="672">
        <v>1166074.5035808946</v>
      </c>
      <c r="I24" s="672">
        <v>1481270.2574403626</v>
      </c>
      <c r="J24" s="673">
        <v>1166074.5035808946</v>
      </c>
      <c r="K24" s="672">
        <v>1166074.5035808946</v>
      </c>
      <c r="L24" s="673">
        <v>1544451.1224905048</v>
      </c>
      <c r="M24" s="672">
        <v>1166074.503580895</v>
      </c>
      <c r="N24" s="672">
        <v>1166074.503580895</v>
      </c>
      <c r="O24" s="675">
        <f t="shared" si="0"/>
        <v>15612967.754999999</v>
      </c>
    </row>
    <row r="25" spans="1:15" x14ac:dyDescent="0.2">
      <c r="A25" s="645" t="s">
        <v>164</v>
      </c>
      <c r="B25" s="657">
        <v>0.03</v>
      </c>
      <c r="C25" s="672">
        <v>126786.67605375213</v>
      </c>
      <c r="D25" s="673">
        <v>98764.074272803031</v>
      </c>
      <c r="E25" s="672">
        <v>98764.074272803031</v>
      </c>
      <c r="F25" s="673">
        <v>149214.20026657337</v>
      </c>
      <c r="G25" s="672">
        <v>98764.074272803031</v>
      </c>
      <c r="H25" s="672">
        <v>98764.074272803031</v>
      </c>
      <c r="I25" s="672">
        <v>125460.49611296125</v>
      </c>
      <c r="J25" s="673">
        <v>98764.074272803045</v>
      </c>
      <c r="K25" s="672">
        <v>98764.074272803045</v>
      </c>
      <c r="L25" s="673">
        <v>130811.78338428894</v>
      </c>
      <c r="M25" s="672">
        <v>98764.074272803075</v>
      </c>
      <c r="N25" s="672">
        <v>98764.074272803075</v>
      </c>
      <c r="O25" s="675">
        <f t="shared" si="0"/>
        <v>1322385.75</v>
      </c>
    </row>
    <row r="26" spans="1:15" ht="13.5" thickBot="1" x14ac:dyDescent="0.25">
      <c r="A26" s="645" t="s">
        <v>165</v>
      </c>
      <c r="B26" s="658">
        <v>4.5199999999999997E-2</v>
      </c>
      <c r="C26" s="672">
        <v>191025.2585876532</v>
      </c>
      <c r="D26" s="673">
        <v>148804.53857102324</v>
      </c>
      <c r="E26" s="672">
        <v>148804.53857102324</v>
      </c>
      <c r="F26" s="673">
        <v>224816.06173497057</v>
      </c>
      <c r="G26" s="672">
        <v>148804.53857102324</v>
      </c>
      <c r="H26" s="672">
        <v>148804.53857102324</v>
      </c>
      <c r="I26" s="678">
        <v>189027.1474768616</v>
      </c>
      <c r="J26" s="673">
        <v>148804.53857102324</v>
      </c>
      <c r="K26" s="672">
        <v>148804.53857102324</v>
      </c>
      <c r="L26" s="673">
        <v>197089.75363232865</v>
      </c>
      <c r="M26" s="672">
        <v>148804.53857102329</v>
      </c>
      <c r="N26" s="672">
        <v>148804.53857102329</v>
      </c>
      <c r="O26" s="675">
        <f t="shared" si="0"/>
        <v>1992394.53</v>
      </c>
    </row>
    <row r="27" spans="1:15" ht="13.5" thickBot="1" x14ac:dyDescent="0.25">
      <c r="A27" s="650" t="s">
        <v>288</v>
      </c>
      <c r="B27" s="651">
        <f t="shared" ref="B27:N27" si="1">SUM(B7:B26)</f>
        <v>1</v>
      </c>
      <c r="C27" s="680">
        <f t="shared" si="1"/>
        <v>4226222.5351250712</v>
      </c>
      <c r="D27" s="680">
        <f t="shared" si="1"/>
        <v>3292135.8090934348</v>
      </c>
      <c r="E27" s="680">
        <f t="shared" si="1"/>
        <v>3292135.8090934348</v>
      </c>
      <c r="F27" s="680">
        <f t="shared" si="1"/>
        <v>4973806.6755524464</v>
      </c>
      <c r="G27" s="680">
        <f t="shared" si="1"/>
        <v>3292135.8090934348</v>
      </c>
      <c r="H27" s="680">
        <f t="shared" si="1"/>
        <v>3292135.8090934348</v>
      </c>
      <c r="I27" s="680">
        <f t="shared" si="1"/>
        <v>4182016.5370987086</v>
      </c>
      <c r="J27" s="680">
        <f t="shared" si="1"/>
        <v>3292135.8090934353</v>
      </c>
      <c r="K27" s="680">
        <f t="shared" si="1"/>
        <v>3292135.8090934353</v>
      </c>
      <c r="L27" s="680">
        <f t="shared" si="1"/>
        <v>4360392.779476299</v>
      </c>
      <c r="M27" s="680">
        <f t="shared" si="1"/>
        <v>3292135.8090934358</v>
      </c>
      <c r="N27" s="680">
        <f t="shared" si="1"/>
        <v>3292135.8090934358</v>
      </c>
      <c r="O27" s="680">
        <f t="shared" si="0"/>
        <v>44079525.000000007</v>
      </c>
    </row>
    <row r="28" spans="1:15" x14ac:dyDescent="0.2">
      <c r="A28" s="653"/>
      <c r="B28" s="653"/>
      <c r="C28" s="653"/>
      <c r="D28" s="653"/>
      <c r="E28" s="653"/>
      <c r="F28" s="653"/>
      <c r="G28" s="653"/>
      <c r="H28" s="653"/>
      <c r="I28" s="653"/>
      <c r="J28" s="653"/>
      <c r="K28" s="653"/>
      <c r="L28" s="653"/>
      <c r="M28" s="653"/>
      <c r="N28" s="653"/>
      <c r="O28" s="653"/>
    </row>
    <row r="29" spans="1:15" x14ac:dyDescent="0.2">
      <c r="A29" s="654" t="s">
        <v>289</v>
      </c>
    </row>
    <row r="31" spans="1:15" x14ac:dyDescent="0.2">
      <c r="A31" s="786" t="s">
        <v>356</v>
      </c>
      <c r="B31" s="786"/>
      <c r="C31" s="681">
        <f>'X22.55 POE'!B61</f>
        <v>7401847.602785917</v>
      </c>
      <c r="D31" s="681">
        <f>'X22.55 POE'!C61</f>
        <v>3809901.8677823083</v>
      </c>
      <c r="E31" s="681">
        <f>'X22.55 POE'!D61</f>
        <v>3809901.8677823083</v>
      </c>
      <c r="F31" s="681">
        <f>'X22.55 POE'!E61</f>
        <v>11747807.106382683</v>
      </c>
      <c r="G31" s="681">
        <f>'X22.55 POE'!F61</f>
        <v>3809901.8677823083</v>
      </c>
      <c r="H31" s="681">
        <f>'X22.55 POE'!G61</f>
        <v>3809901.8677823083</v>
      </c>
      <c r="I31" s="681">
        <f>'X22.55 POE'!H61</f>
        <v>9180978.9444860108</v>
      </c>
      <c r="J31" s="681">
        <f>'X22.55 POE'!I61</f>
        <v>3809901.8677823083</v>
      </c>
      <c r="K31" s="681">
        <f>'X22.55 POE'!J61</f>
        <v>3809901.8677823083</v>
      </c>
      <c r="L31" s="681">
        <f>'X22.55 POE'!K61</f>
        <v>8914158.4790869262</v>
      </c>
      <c r="M31" s="681">
        <f>'X22.55 POE'!L61</f>
        <v>3809901.8677823083</v>
      </c>
      <c r="N31" s="681">
        <f>'X22.55 POE'!M61</f>
        <v>3809901.8677823083</v>
      </c>
      <c r="O31" s="681">
        <f>SUM(C31:N31)</f>
        <v>67724007.075000003</v>
      </c>
    </row>
    <row r="32" spans="1:15" x14ac:dyDescent="0.2">
      <c r="A32" s="787" t="s">
        <v>365</v>
      </c>
      <c r="B32" s="788"/>
      <c r="C32" s="681">
        <f>'X22.55 POE'!B62</f>
        <v>4226222.5351250712</v>
      </c>
      <c r="D32" s="681">
        <f>'X22.55 POE'!C62</f>
        <v>3292135.8090934348</v>
      </c>
      <c r="E32" s="681">
        <f>'X22.55 POE'!D62</f>
        <v>3292135.8090934348</v>
      </c>
      <c r="F32" s="681">
        <f>'X22.55 POE'!E62</f>
        <v>4973806.6755524464</v>
      </c>
      <c r="G32" s="681">
        <f>'X22.55 POE'!F62</f>
        <v>3292135.8090934348</v>
      </c>
      <c r="H32" s="681">
        <f>'X22.55 POE'!G62</f>
        <v>3292135.8090934348</v>
      </c>
      <c r="I32" s="681">
        <f>'X22.55 POE'!H62</f>
        <v>4182016.5370987086</v>
      </c>
      <c r="J32" s="681">
        <f>'X22.55 POE'!I62</f>
        <v>3292135.8090934353</v>
      </c>
      <c r="K32" s="681">
        <f>'X22.55 POE'!J62</f>
        <v>3292135.8090934353</v>
      </c>
      <c r="L32" s="681">
        <f>'X22.55 POE'!K62</f>
        <v>4360392.779476299</v>
      </c>
      <c r="M32" s="681">
        <f>'X22.55 POE'!L62</f>
        <v>3292135.8090934358</v>
      </c>
      <c r="N32" s="681">
        <f>'X22.55 POE'!M62</f>
        <v>3292135.8090934358</v>
      </c>
      <c r="O32" s="681">
        <f>SUM(C32:N32)</f>
        <v>44079525.000000007</v>
      </c>
    </row>
    <row r="33" spans="1:15" x14ac:dyDescent="0.2">
      <c r="A33" s="1239" t="s">
        <v>350</v>
      </c>
      <c r="B33" s="1240"/>
      <c r="C33" s="681">
        <f>C31-C32</f>
        <v>3175625.0676608458</v>
      </c>
      <c r="D33" s="681">
        <f t="shared" ref="D33:N33" si="2">D31-D32</f>
        <v>517766.05868887343</v>
      </c>
      <c r="E33" s="681">
        <f t="shared" si="2"/>
        <v>517766.05868887343</v>
      </c>
      <c r="F33" s="681">
        <f t="shared" si="2"/>
        <v>6774000.4308302365</v>
      </c>
      <c r="G33" s="681">
        <f t="shared" si="2"/>
        <v>517766.05868887343</v>
      </c>
      <c r="H33" s="681">
        <f t="shared" si="2"/>
        <v>517766.05868887343</v>
      </c>
      <c r="I33" s="681">
        <f t="shared" si="2"/>
        <v>4998962.4073873023</v>
      </c>
      <c r="J33" s="681">
        <f t="shared" si="2"/>
        <v>517766.05868887296</v>
      </c>
      <c r="K33" s="681">
        <f t="shared" si="2"/>
        <v>517766.05868887296</v>
      </c>
      <c r="L33" s="681">
        <f t="shared" si="2"/>
        <v>4553765.6996106273</v>
      </c>
      <c r="M33" s="681">
        <f t="shared" si="2"/>
        <v>517766.05868887249</v>
      </c>
      <c r="N33" s="681">
        <f t="shared" si="2"/>
        <v>517766.05868887249</v>
      </c>
      <c r="O33" s="681">
        <f t="shared" ref="O33" si="3">O31-O32</f>
        <v>23644482.074999996</v>
      </c>
    </row>
    <row r="34" spans="1:15" x14ac:dyDescent="0.2">
      <c r="A34" s="653"/>
      <c r="B34" s="653"/>
    </row>
  </sheetData>
  <mergeCells count="5">
    <mergeCell ref="A1:O1"/>
    <mergeCell ref="A2:O2"/>
    <mergeCell ref="A3:O3"/>
    <mergeCell ref="A4:O4"/>
    <mergeCell ref="A33:B33"/>
  </mergeCells>
  <printOptions horizontalCentered="1"/>
  <pageMargins left="0.78740157480314965" right="0.78740157480314965" top="0.98425196850393704" bottom="0.98425196850393704" header="0" footer="0"/>
  <pageSetup paperSize="5" scale="90"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4" tint="0.39997558519241921"/>
  </sheetPr>
  <dimension ref="A1:Q32"/>
  <sheetViews>
    <sheetView workbookViewId="0">
      <selection activeCell="C35" sqref="C35"/>
    </sheetView>
  </sheetViews>
  <sheetFormatPr baseColWidth="10" defaultRowHeight="12.75" x14ac:dyDescent="0.2"/>
  <cols>
    <col min="1" max="1" width="16.85546875" style="640" customWidth="1"/>
    <col min="2" max="2" width="9.28515625" style="640" bestFit="1" customWidth="1"/>
    <col min="3" max="14" width="11.7109375" style="640" bestFit="1" customWidth="1"/>
    <col min="15" max="15" width="13" style="640" bestFit="1" customWidth="1"/>
    <col min="16" max="16384" width="11.42578125" style="640"/>
  </cols>
  <sheetData>
    <row r="1" spans="1:15" ht="15.75" x14ac:dyDescent="0.25">
      <c r="A1" s="1235" t="s">
        <v>277</v>
      </c>
      <c r="B1" s="1235"/>
      <c r="C1" s="1235"/>
      <c r="D1" s="1235"/>
      <c r="E1" s="1235"/>
      <c r="F1" s="1235"/>
      <c r="G1" s="1235"/>
      <c r="H1" s="1235"/>
      <c r="I1" s="1235"/>
      <c r="J1" s="1235"/>
      <c r="K1" s="1235"/>
      <c r="L1" s="1235"/>
      <c r="M1" s="1235"/>
      <c r="N1" s="1235"/>
      <c r="O1" s="1235"/>
    </row>
    <row r="2" spans="1:15" x14ac:dyDescent="0.2">
      <c r="A2" s="1236" t="s">
        <v>278</v>
      </c>
      <c r="B2" s="1236"/>
      <c r="C2" s="1236"/>
      <c r="D2" s="1236"/>
      <c r="E2" s="1236"/>
      <c r="F2" s="1236"/>
      <c r="G2" s="1236"/>
      <c r="H2" s="1236"/>
      <c r="I2" s="1236"/>
      <c r="J2" s="1236"/>
      <c r="K2" s="1236"/>
      <c r="L2" s="1236"/>
      <c r="M2" s="1236"/>
      <c r="N2" s="1236"/>
      <c r="O2" s="1236"/>
    </row>
    <row r="3" spans="1:15" x14ac:dyDescent="0.2">
      <c r="A3" s="1236" t="s">
        <v>279</v>
      </c>
      <c r="B3" s="1236"/>
      <c r="C3" s="1236"/>
      <c r="D3" s="1236"/>
      <c r="E3" s="1236"/>
      <c r="F3" s="1236"/>
      <c r="G3" s="1236"/>
      <c r="H3" s="1236"/>
      <c r="I3" s="1236"/>
      <c r="J3" s="1236"/>
      <c r="K3" s="1236"/>
      <c r="L3" s="1236"/>
      <c r="M3" s="1236"/>
      <c r="N3" s="1236"/>
      <c r="O3" s="1236"/>
    </row>
    <row r="4" spans="1:15" x14ac:dyDescent="0.2">
      <c r="A4" s="1237" t="s">
        <v>357</v>
      </c>
      <c r="B4" s="1237"/>
      <c r="C4" s="1237"/>
      <c r="D4" s="1237"/>
      <c r="E4" s="1237"/>
      <c r="F4" s="1237"/>
      <c r="G4" s="1237"/>
      <c r="H4" s="1237"/>
      <c r="I4" s="1237"/>
      <c r="J4" s="1237"/>
      <c r="K4" s="1237"/>
      <c r="L4" s="1237"/>
      <c r="M4" s="1237"/>
      <c r="N4" s="1237"/>
      <c r="O4" s="1237"/>
    </row>
    <row r="5" spans="1:15" ht="13.5" thickBot="1" x14ac:dyDescent="0.25"/>
    <row r="6" spans="1:15" ht="34.5" thickBot="1" x14ac:dyDescent="0.25">
      <c r="A6" s="641" t="s">
        <v>13</v>
      </c>
      <c r="B6" s="642" t="s">
        <v>399</v>
      </c>
      <c r="C6" s="641" t="s">
        <v>1</v>
      </c>
      <c r="D6" s="643" t="s">
        <v>2</v>
      </c>
      <c r="E6" s="641" t="s">
        <v>3</v>
      </c>
      <c r="F6" s="643" t="s">
        <v>4</v>
      </c>
      <c r="G6" s="641" t="s">
        <v>5</v>
      </c>
      <c r="H6" s="641" t="s">
        <v>6</v>
      </c>
      <c r="I6" s="641" t="s">
        <v>7</v>
      </c>
      <c r="J6" s="643" t="s">
        <v>8</v>
      </c>
      <c r="K6" s="641" t="s">
        <v>9</v>
      </c>
      <c r="L6" s="643" t="s">
        <v>10</v>
      </c>
      <c r="M6" s="641" t="s">
        <v>11</v>
      </c>
      <c r="N6" s="641" t="s">
        <v>12</v>
      </c>
      <c r="O6" s="644" t="s">
        <v>168</v>
      </c>
    </row>
    <row r="7" spans="1:15" x14ac:dyDescent="0.2">
      <c r="A7" s="645" t="s">
        <v>282</v>
      </c>
      <c r="B7" s="671">
        <f>'IEPS GyD '!F9</f>
        <v>3.0136241193535018</v>
      </c>
      <c r="C7" s="672">
        <f>$C$32*B7/100</f>
        <v>34393.99893268376</v>
      </c>
      <c r="D7" s="672">
        <f>$D$32*B7/100</f>
        <v>49751.238252210263</v>
      </c>
      <c r="E7" s="672">
        <f>$E$32*B7/100</f>
        <v>30473.087143939523</v>
      </c>
      <c r="F7" s="672">
        <f>$F$32*B7/100</f>
        <v>49408.090465813133</v>
      </c>
      <c r="G7" s="672">
        <f>$G$32*B7/100</f>
        <v>40964.489620866043</v>
      </c>
      <c r="H7" s="672">
        <f>$H$32*B7/100</f>
        <v>49984.087017470993</v>
      </c>
      <c r="I7" s="672">
        <f>$I$32*B7/100</f>
        <v>39090.72421395222</v>
      </c>
      <c r="J7" s="672">
        <f>$J$32*B7/100</f>
        <v>46151.419679334329</v>
      </c>
      <c r="K7" s="672">
        <f>$K$32*B7/100</f>
        <v>49791.718642387044</v>
      </c>
      <c r="L7" s="672">
        <f>$L$32*B7/100</f>
        <v>37247.39867136706</v>
      </c>
      <c r="M7" s="672">
        <f>$M$32*B7/100</f>
        <v>47657.257125509175</v>
      </c>
      <c r="N7" s="672">
        <f>$N$32*B7/100</f>
        <v>68908.795106513775</v>
      </c>
      <c r="O7" s="675">
        <f>SUM(C7:N7)</f>
        <v>543822.30487204739</v>
      </c>
    </row>
    <row r="8" spans="1:15" x14ac:dyDescent="0.2">
      <c r="A8" s="645" t="s">
        <v>147</v>
      </c>
      <c r="B8" s="676">
        <f>'IEPS GyD '!F10</f>
        <v>1.2459367229589724</v>
      </c>
      <c r="C8" s="672">
        <f t="shared" ref="C8:C26" si="0">$C$32*B8/100</f>
        <v>14219.671937333509</v>
      </c>
      <c r="D8" s="672">
        <f t="shared" ref="D8:D26" si="1">$D$32*B8/100</f>
        <v>20568.887258709514</v>
      </c>
      <c r="E8" s="672">
        <f t="shared" ref="E8:E26" si="2">$E$32*B8/100</f>
        <v>12598.631027252395</v>
      </c>
      <c r="F8" s="672">
        <f t="shared" ref="F8:F26" si="3">$F$32*B8/100</f>
        <v>20427.018063500796</v>
      </c>
      <c r="G8" s="672">
        <f t="shared" ref="G8:G26" si="4">$G$32*B8/100</f>
        <v>16936.140651428635</v>
      </c>
      <c r="H8" s="672">
        <f t="shared" ref="H8:H26" si="5">$H$32*B8/100</f>
        <v>20665.155013427458</v>
      </c>
      <c r="I8" s="672">
        <f t="shared" ref="I8:I26" si="6">$I$32*B8/100</f>
        <v>16161.461050316035</v>
      </c>
      <c r="J8" s="672">
        <f t="shared" ref="J8:J26" si="7">$J$32*B8/100</f>
        <v>19080.597419531412</v>
      </c>
      <c r="K8" s="672">
        <f t="shared" ref="K8:K26" si="8">$K$32*B8/100</f>
        <v>20585.623255862265</v>
      </c>
      <c r="L8" s="672">
        <f t="shared" ref="L8:L26" si="9">$L$32*B8/100</f>
        <v>15399.366344766684</v>
      </c>
      <c r="M8" s="672">
        <f t="shared" ref="M8:M26" si="10">$M$32*B8/100</f>
        <v>19703.162841989764</v>
      </c>
      <c r="N8" s="672">
        <f t="shared" ref="N8:N26" si="11">$N$32*B8/100</f>
        <v>28489.285643386516</v>
      </c>
      <c r="O8" s="675">
        <f t="shared" ref="O8:O26" si="12">SUM(C8:N8)</f>
        <v>224835.000507505</v>
      </c>
    </row>
    <row r="9" spans="1:15" x14ac:dyDescent="0.2">
      <c r="A9" s="645" t="s">
        <v>148</v>
      </c>
      <c r="B9" s="676">
        <f>'IEPS GyD '!F11</f>
        <v>0.93374430169912959</v>
      </c>
      <c r="C9" s="672">
        <f t="shared" si="0"/>
        <v>10656.670919838843</v>
      </c>
      <c r="D9" s="672">
        <f t="shared" si="1"/>
        <v>15414.973261643145</v>
      </c>
      <c r="E9" s="672">
        <f t="shared" si="2"/>
        <v>9441.8117020972895</v>
      </c>
      <c r="F9" s="672">
        <f t="shared" si="3"/>
        <v>15308.652009390316</v>
      </c>
      <c r="G9" s="672">
        <f t="shared" si="4"/>
        <v>12692.478305390809</v>
      </c>
      <c r="H9" s="672">
        <f t="shared" si="5"/>
        <v>15487.119355219846</v>
      </c>
      <c r="I9" s="672">
        <f t="shared" si="6"/>
        <v>12111.908963583819</v>
      </c>
      <c r="J9" s="672">
        <f t="shared" si="7"/>
        <v>14299.601886033539</v>
      </c>
      <c r="K9" s="672">
        <f t="shared" si="8"/>
        <v>15427.515746094135</v>
      </c>
      <c r="L9" s="672">
        <f t="shared" si="9"/>
        <v>11540.771139688717</v>
      </c>
      <c r="M9" s="672">
        <f t="shared" si="10"/>
        <v>14766.172061663994</v>
      </c>
      <c r="N9" s="672">
        <f t="shared" si="11"/>
        <v>21350.769777308305</v>
      </c>
      <c r="O9" s="675">
        <f t="shared" si="12"/>
        <v>168498.44512795276</v>
      </c>
    </row>
    <row r="10" spans="1:15" x14ac:dyDescent="0.2">
      <c r="A10" s="645" t="s">
        <v>283</v>
      </c>
      <c r="B10" s="676">
        <f>'IEPS GyD '!F12</f>
        <v>15.187266887691669</v>
      </c>
      <c r="C10" s="672">
        <f t="shared" si="0"/>
        <v>173329.79178495161</v>
      </c>
      <c r="D10" s="672">
        <f t="shared" si="1"/>
        <v>250723.15040123326</v>
      </c>
      <c r="E10" s="672">
        <f t="shared" si="2"/>
        <v>153570.21613106094</v>
      </c>
      <c r="F10" s="672">
        <f t="shared" si="3"/>
        <v>248993.84481847464</v>
      </c>
      <c r="G10" s="672">
        <f t="shared" si="4"/>
        <v>206442.01537769489</v>
      </c>
      <c r="H10" s="672">
        <f t="shared" si="5"/>
        <v>251896.60010910284</v>
      </c>
      <c r="I10" s="672">
        <f t="shared" si="6"/>
        <v>196999.10737302006</v>
      </c>
      <c r="J10" s="672">
        <f t="shared" si="7"/>
        <v>232581.73553053441</v>
      </c>
      <c r="K10" s="672">
        <f t="shared" si="8"/>
        <v>250927.15278009148</v>
      </c>
      <c r="L10" s="672">
        <f t="shared" si="9"/>
        <v>187709.60215690651</v>
      </c>
      <c r="M10" s="672">
        <f t="shared" si="10"/>
        <v>240170.4573746653</v>
      </c>
      <c r="N10" s="672">
        <f t="shared" si="11"/>
        <v>347268.3456012407</v>
      </c>
      <c r="O10" s="675">
        <f t="shared" si="12"/>
        <v>2740612.0194389764</v>
      </c>
    </row>
    <row r="11" spans="1:15" x14ac:dyDescent="0.2">
      <c r="A11" s="645" t="s">
        <v>150</v>
      </c>
      <c r="B11" s="676">
        <f>'IEPS GyD '!F13</f>
        <v>6.2678071902196431</v>
      </c>
      <c r="C11" s="672">
        <f t="shared" si="0"/>
        <v>71533.4578145493</v>
      </c>
      <c r="D11" s="672">
        <f t="shared" si="1"/>
        <v>103473.80976842914</v>
      </c>
      <c r="E11" s="672">
        <f t="shared" si="2"/>
        <v>63378.652129300084</v>
      </c>
      <c r="F11" s="672">
        <f t="shared" si="3"/>
        <v>102760.12283279719</v>
      </c>
      <c r="G11" s="672">
        <f t="shared" si="4"/>
        <v>85198.920774639628</v>
      </c>
      <c r="H11" s="672">
        <f t="shared" si="5"/>
        <v>103958.09417396013</v>
      </c>
      <c r="I11" s="672">
        <f t="shared" si="6"/>
        <v>81301.818871712603</v>
      </c>
      <c r="J11" s="672">
        <f t="shared" si="7"/>
        <v>95986.821397962311</v>
      </c>
      <c r="K11" s="672">
        <f t="shared" si="8"/>
        <v>103558.00184765478</v>
      </c>
      <c r="L11" s="672">
        <f t="shared" si="9"/>
        <v>77468.026523312728</v>
      </c>
      <c r="M11" s="672">
        <f t="shared" si="10"/>
        <v>99118.697968707798</v>
      </c>
      <c r="N11" s="672">
        <f t="shared" si="11"/>
        <v>143318.15260711216</v>
      </c>
      <c r="O11" s="675">
        <f t="shared" si="12"/>
        <v>1131054.5767101378</v>
      </c>
    </row>
    <row r="12" spans="1:15" x14ac:dyDescent="0.2">
      <c r="A12" s="645" t="s">
        <v>284</v>
      </c>
      <c r="B12" s="676">
        <f>'IEPS GyD '!F14</f>
        <v>3.8487813406547868</v>
      </c>
      <c r="C12" s="672">
        <f t="shared" si="0"/>
        <v>43925.511636471667</v>
      </c>
      <c r="D12" s="672">
        <f t="shared" si="1"/>
        <v>63538.659725306148</v>
      </c>
      <c r="E12" s="672">
        <f t="shared" si="2"/>
        <v>38918.008532829946</v>
      </c>
      <c r="F12" s="672">
        <f t="shared" si="3"/>
        <v>63100.416352852779</v>
      </c>
      <c r="G12" s="672">
        <f t="shared" si="4"/>
        <v>52316.864027508069</v>
      </c>
      <c r="H12" s="672">
        <f t="shared" si="5"/>
        <v>63836.03721746739</v>
      </c>
      <c r="I12" s="672">
        <f t="shared" si="6"/>
        <v>49923.827255410084</v>
      </c>
      <c r="J12" s="672">
        <f t="shared" si="7"/>
        <v>58941.233502158022</v>
      </c>
      <c r="K12" s="672">
        <f t="shared" si="8"/>
        <v>63590.358332764932</v>
      </c>
      <c r="L12" s="672">
        <f t="shared" si="9"/>
        <v>47569.666062083794</v>
      </c>
      <c r="M12" s="672">
        <f t="shared" si="10"/>
        <v>60864.379467070306</v>
      </c>
      <c r="N12" s="672">
        <f t="shared" si="11"/>
        <v>88005.296715586868</v>
      </c>
      <c r="O12" s="675">
        <f t="shared" si="12"/>
        <v>694530.25882751006</v>
      </c>
    </row>
    <row r="13" spans="1:15" x14ac:dyDescent="0.2">
      <c r="A13" s="645" t="s">
        <v>152</v>
      </c>
      <c r="B13" s="676">
        <f>'IEPS GyD '!F15</f>
        <v>0.98991789266473262</v>
      </c>
      <c r="C13" s="672">
        <f t="shared" si="0"/>
        <v>11297.770921431091</v>
      </c>
      <c r="D13" s="672">
        <f t="shared" si="1"/>
        <v>16342.330356266963</v>
      </c>
      <c r="E13" s="672">
        <f t="shared" si="2"/>
        <v>10009.826379737333</v>
      </c>
      <c r="F13" s="672">
        <f t="shared" si="3"/>
        <v>16229.612870565497</v>
      </c>
      <c r="G13" s="672">
        <f t="shared" si="4"/>
        <v>13456.051462805963</v>
      </c>
      <c r="H13" s="672">
        <f t="shared" si="5"/>
        <v>16418.816722810221</v>
      </c>
      <c r="I13" s="672">
        <f t="shared" si="6"/>
        <v>12840.555359277923</v>
      </c>
      <c r="J13" s="672">
        <f t="shared" si="7"/>
        <v>15159.858795612883</v>
      </c>
      <c r="K13" s="672">
        <f t="shared" si="8"/>
        <v>16355.62739031998</v>
      </c>
      <c r="L13" s="672">
        <f t="shared" si="9"/>
        <v>12235.058169070131</v>
      </c>
      <c r="M13" s="672">
        <f t="shared" si="10"/>
        <v>15654.497600047735</v>
      </c>
      <c r="N13" s="672">
        <f t="shared" si="11"/>
        <v>22635.221426532647</v>
      </c>
      <c r="O13" s="675">
        <f t="shared" si="12"/>
        <v>178635.22745447839</v>
      </c>
    </row>
    <row r="14" spans="1:15" x14ac:dyDescent="0.2">
      <c r="A14" s="645" t="s">
        <v>153</v>
      </c>
      <c r="B14" s="676">
        <f>'IEPS GyD '!F16</f>
        <v>2.3715130283878989</v>
      </c>
      <c r="C14" s="672">
        <f t="shared" si="0"/>
        <v>27065.690124857691</v>
      </c>
      <c r="D14" s="672">
        <f t="shared" si="1"/>
        <v>39150.771635998834</v>
      </c>
      <c r="E14" s="672">
        <f t="shared" si="2"/>
        <v>23980.204668840892</v>
      </c>
      <c r="F14" s="672">
        <f t="shared" si="3"/>
        <v>38880.73814347494</v>
      </c>
      <c r="G14" s="672">
        <f t="shared" si="4"/>
        <v>32236.210286897131</v>
      </c>
      <c r="H14" s="672">
        <f t="shared" si="5"/>
        <v>39334.007453934319</v>
      </c>
      <c r="I14" s="672">
        <f t="shared" si="6"/>
        <v>30761.686955967612</v>
      </c>
      <c r="J14" s="672">
        <f t="shared" si="7"/>
        <v>36317.9642561457</v>
      </c>
      <c r="K14" s="672">
        <f t="shared" si="8"/>
        <v>39182.626893621025</v>
      </c>
      <c r="L14" s="672">
        <f t="shared" si="9"/>
        <v>29311.117685657056</v>
      </c>
      <c r="M14" s="672">
        <f t="shared" si="10"/>
        <v>37502.953817154426</v>
      </c>
      <c r="N14" s="672">
        <f t="shared" si="11"/>
        <v>54226.4392948471</v>
      </c>
      <c r="O14" s="675">
        <f t="shared" si="12"/>
        <v>427950.41121739673</v>
      </c>
    </row>
    <row r="15" spans="1:15" x14ac:dyDescent="0.2">
      <c r="A15" s="645" t="s">
        <v>154</v>
      </c>
      <c r="B15" s="676">
        <f>'IEPS GyD '!F17</f>
        <v>1.563876010153336</v>
      </c>
      <c r="C15" s="672">
        <f t="shared" si="0"/>
        <v>17848.260995336885</v>
      </c>
      <c r="D15" s="672">
        <f t="shared" si="1"/>
        <v>25817.674964303678</v>
      </c>
      <c r="E15" s="672">
        <f t="shared" si="2"/>
        <v>15813.561364096891</v>
      </c>
      <c r="F15" s="672">
        <f t="shared" si="3"/>
        <v>25639.603456434663</v>
      </c>
      <c r="G15" s="672">
        <f t="shared" si="4"/>
        <v>21257.920712418156</v>
      </c>
      <c r="H15" s="672">
        <f t="shared" si="5"/>
        <v>25938.50841385252</v>
      </c>
      <c r="I15" s="672">
        <f t="shared" si="6"/>
        <v>20285.557653034241</v>
      </c>
      <c r="J15" s="672">
        <f t="shared" si="7"/>
        <v>23949.601945219663</v>
      </c>
      <c r="K15" s="672">
        <f t="shared" si="8"/>
        <v>25838.681668714009</v>
      </c>
      <c r="L15" s="672">
        <f t="shared" si="9"/>
        <v>19328.990914521994</v>
      </c>
      <c r="M15" s="672">
        <f t="shared" si="10"/>
        <v>24731.034188922509</v>
      </c>
      <c r="N15" s="672">
        <f t="shared" si="11"/>
        <v>35759.207946200921</v>
      </c>
      <c r="O15" s="675">
        <f t="shared" si="12"/>
        <v>282208.60422305611</v>
      </c>
    </row>
    <row r="16" spans="1:15" x14ac:dyDescent="0.2">
      <c r="A16" s="645" t="s">
        <v>155</v>
      </c>
      <c r="B16" s="676">
        <f>'IEPS GyD '!F18</f>
        <v>1.1104401937422297</v>
      </c>
      <c r="C16" s="672">
        <f t="shared" si="0"/>
        <v>12673.272221677282</v>
      </c>
      <c r="D16" s="672">
        <f t="shared" si="1"/>
        <v>18332.005736518928</v>
      </c>
      <c r="E16" s="672">
        <f t="shared" si="2"/>
        <v>11228.520695307972</v>
      </c>
      <c r="F16" s="672">
        <f t="shared" si="3"/>
        <v>18205.564919974495</v>
      </c>
      <c r="G16" s="672">
        <f t="shared" si="4"/>
        <v>15094.322977778826</v>
      </c>
      <c r="H16" s="672">
        <f t="shared" si="5"/>
        <v>18417.804302553843</v>
      </c>
      <c r="I16" s="672">
        <f t="shared" si="6"/>
        <v>14403.890349463112</v>
      </c>
      <c r="J16" s="672">
        <f t="shared" si="7"/>
        <v>17005.568505070576</v>
      </c>
      <c r="K16" s="672">
        <f t="shared" si="8"/>
        <v>18346.921681749784</v>
      </c>
      <c r="L16" s="672">
        <f t="shared" si="9"/>
        <v>13724.674000120453</v>
      </c>
      <c r="M16" s="672">
        <f t="shared" si="10"/>
        <v>17560.429482833599</v>
      </c>
      <c r="N16" s="672">
        <f t="shared" si="11"/>
        <v>25391.055008225791</v>
      </c>
      <c r="O16" s="675">
        <f t="shared" si="12"/>
        <v>200384.02988127468</v>
      </c>
    </row>
    <row r="17" spans="1:17" x14ac:dyDescent="0.2">
      <c r="A17" s="645" t="s">
        <v>156</v>
      </c>
      <c r="B17" s="676">
        <f>'IEPS GyD '!F19</f>
        <v>2.7169725186489848</v>
      </c>
      <c r="C17" s="672">
        <f t="shared" si="0"/>
        <v>31008.362757128165</v>
      </c>
      <c r="D17" s="672">
        <f t="shared" si="1"/>
        <v>44853.884142993717</v>
      </c>
      <c r="E17" s="672">
        <f t="shared" si="2"/>
        <v>27473.413089831811</v>
      </c>
      <c r="F17" s="672">
        <f t="shared" si="3"/>
        <v>44544.514736408179</v>
      </c>
      <c r="G17" s="672">
        <f t="shared" si="4"/>
        <v>36932.075180049702</v>
      </c>
      <c r="H17" s="672">
        <f t="shared" si="5"/>
        <v>45063.812014273979</v>
      </c>
      <c r="I17" s="672">
        <f t="shared" si="6"/>
        <v>35242.757297210308</v>
      </c>
      <c r="J17" s="672">
        <f t="shared" si="7"/>
        <v>41608.420293731615</v>
      </c>
      <c r="K17" s="672">
        <f t="shared" si="8"/>
        <v>44890.379771943648</v>
      </c>
      <c r="L17" s="672">
        <f t="shared" si="9"/>
        <v>33580.882874994044</v>
      </c>
      <c r="M17" s="672">
        <f t="shared" si="10"/>
        <v>42966.027877416389</v>
      </c>
      <c r="N17" s="672">
        <f t="shared" si="11"/>
        <v>62125.631858088418</v>
      </c>
      <c r="O17" s="675">
        <f t="shared" si="12"/>
        <v>490290.16189407004</v>
      </c>
    </row>
    <row r="18" spans="1:17" x14ac:dyDescent="0.2">
      <c r="A18" s="645" t="s">
        <v>157</v>
      </c>
      <c r="B18" s="676">
        <f>'IEPS GyD '!F20</f>
        <v>1.9503729796933278</v>
      </c>
      <c r="C18" s="672">
        <f t="shared" si="0"/>
        <v>22259.287663352705</v>
      </c>
      <c r="D18" s="672">
        <f t="shared" si="1"/>
        <v>32198.26592515198</v>
      </c>
      <c r="E18" s="672">
        <f t="shared" si="2"/>
        <v>19721.731516447322</v>
      </c>
      <c r="F18" s="672">
        <f t="shared" si="3"/>
        <v>31976.185750543435</v>
      </c>
      <c r="G18" s="672">
        <f t="shared" si="4"/>
        <v>26511.612105296197</v>
      </c>
      <c r="H18" s="672">
        <f t="shared" si="5"/>
        <v>32348.962203829531</v>
      </c>
      <c r="I18" s="672">
        <f t="shared" si="6"/>
        <v>25298.938833782569</v>
      </c>
      <c r="J18" s="672">
        <f t="shared" si="7"/>
        <v>29868.516560841214</v>
      </c>
      <c r="K18" s="672">
        <f t="shared" si="8"/>
        <v>32224.464235253497</v>
      </c>
      <c r="L18" s="672">
        <f t="shared" si="9"/>
        <v>24105.965792470473</v>
      </c>
      <c r="M18" s="672">
        <f t="shared" si="10"/>
        <v>30843.072295237143</v>
      </c>
      <c r="N18" s="672">
        <f t="shared" si="11"/>
        <v>44596.753515431781</v>
      </c>
      <c r="O18" s="675">
        <f t="shared" si="12"/>
        <v>351953.75639763783</v>
      </c>
    </row>
    <row r="19" spans="1:17" x14ac:dyDescent="0.2">
      <c r="A19" s="645" t="s">
        <v>158</v>
      </c>
      <c r="B19" s="676">
        <f>'IEPS GyD '!F21</f>
        <v>3.3605405615416495</v>
      </c>
      <c r="C19" s="672">
        <f t="shared" si="0"/>
        <v>38353.299518886022</v>
      </c>
      <c r="D19" s="672">
        <f t="shared" si="1"/>
        <v>55478.403248691066</v>
      </c>
      <c r="E19" s="672">
        <f t="shared" si="2"/>
        <v>33981.027934091137</v>
      </c>
      <c r="F19" s="672">
        <f t="shared" si="3"/>
        <v>55095.753651687512</v>
      </c>
      <c r="G19" s="672">
        <f t="shared" si="4"/>
        <v>45680.159005133115</v>
      </c>
      <c r="H19" s="672">
        <f t="shared" si="5"/>
        <v>55738.056639217895</v>
      </c>
      <c r="I19" s="672">
        <f t="shared" si="6"/>
        <v>43590.693164881515</v>
      </c>
      <c r="J19" s="672">
        <f t="shared" si="7"/>
        <v>51464.187855785422</v>
      </c>
      <c r="K19" s="672">
        <f t="shared" si="8"/>
        <v>55523.543580646365</v>
      </c>
      <c r="L19" s="672">
        <f t="shared" si="9"/>
        <v>41535.171305270131</v>
      </c>
      <c r="M19" s="672">
        <f t="shared" si="10"/>
        <v>53143.371329417983</v>
      </c>
      <c r="N19" s="672">
        <f t="shared" si="11"/>
        <v>76841.301977660056</v>
      </c>
      <c r="O19" s="675">
        <f t="shared" si="12"/>
        <v>606424.96921136812</v>
      </c>
    </row>
    <row r="20" spans="1:17" x14ac:dyDescent="0.2">
      <c r="A20" s="645" t="s">
        <v>285</v>
      </c>
      <c r="B20" s="676">
        <f>'IEPS GyD '!F22</f>
        <v>0.62187564753418989</v>
      </c>
      <c r="C20" s="672">
        <f t="shared" si="0"/>
        <v>7097.3650032179139</v>
      </c>
      <c r="D20" s="672">
        <f t="shared" si="1"/>
        <v>10266.404262240318</v>
      </c>
      <c r="E20" s="672">
        <f t="shared" si="2"/>
        <v>6288.2662367556777</v>
      </c>
      <c r="F20" s="672">
        <f t="shared" si="3"/>
        <v>10195.594087044541</v>
      </c>
      <c r="G20" s="672">
        <f t="shared" si="4"/>
        <v>8453.2169573784322</v>
      </c>
      <c r="H20" s="672">
        <f t="shared" si="5"/>
        <v>10314.453710658296</v>
      </c>
      <c r="I20" s="672">
        <f t="shared" si="6"/>
        <v>8066.5565678930752</v>
      </c>
      <c r="J20" s="672">
        <f t="shared" si="7"/>
        <v>9523.5646056168262</v>
      </c>
      <c r="K20" s="672">
        <f t="shared" si="8"/>
        <v>10274.757582978613</v>
      </c>
      <c r="L20" s="672">
        <f t="shared" si="9"/>
        <v>7686.1775889587752</v>
      </c>
      <c r="M20" s="672">
        <f t="shared" si="10"/>
        <v>9834.3013132597516</v>
      </c>
      <c r="N20" s="672">
        <f t="shared" si="11"/>
        <v>14219.657090764542</v>
      </c>
      <c r="O20" s="675">
        <f t="shared" si="12"/>
        <v>112220.31500676674</v>
      </c>
    </row>
    <row r="21" spans="1:17" x14ac:dyDescent="0.2">
      <c r="A21" s="645" t="s">
        <v>286</v>
      </c>
      <c r="B21" s="676">
        <f>'IEPS GyD '!F23</f>
        <v>2.0163405252797348</v>
      </c>
      <c r="C21" s="672">
        <f t="shared" si="0"/>
        <v>23012.1644663753</v>
      </c>
      <c r="D21" s="672">
        <f t="shared" si="1"/>
        <v>33287.309199097821</v>
      </c>
      <c r="E21" s="672">
        <f t="shared" si="2"/>
        <v>20388.780453445357</v>
      </c>
      <c r="F21" s="672">
        <f t="shared" si="3"/>
        <v>33057.717597600742</v>
      </c>
      <c r="G21" s="672">
        <f t="shared" si="4"/>
        <v>27408.315452981144</v>
      </c>
      <c r="H21" s="672">
        <f t="shared" si="5"/>
        <v>33443.102484213043</v>
      </c>
      <c r="I21" s="672">
        <f t="shared" si="6"/>
        <v>26154.625883480981</v>
      </c>
      <c r="J21" s="672">
        <f t="shared" si="7"/>
        <v>30878.760626125309</v>
      </c>
      <c r="K21" s="672">
        <f t="shared" si="8"/>
        <v>33314.393615720452</v>
      </c>
      <c r="L21" s="672">
        <f t="shared" si="9"/>
        <v>24921.302865879479</v>
      </c>
      <c r="M21" s="672">
        <f t="shared" si="10"/>
        <v>31886.278799246866</v>
      </c>
      <c r="N21" s="672">
        <f t="shared" si="11"/>
        <v>46105.151345572762</v>
      </c>
      <c r="O21" s="675">
        <f t="shared" si="12"/>
        <v>363857.90278973931</v>
      </c>
    </row>
    <row r="22" spans="1:17" x14ac:dyDescent="0.2">
      <c r="A22" s="645" t="s">
        <v>287</v>
      </c>
      <c r="B22" s="676">
        <f>'IEPS GyD '!F24</f>
        <v>7.6069888365105687</v>
      </c>
      <c r="C22" s="672">
        <f t="shared" si="0"/>
        <v>86817.318803517221</v>
      </c>
      <c r="D22" s="672">
        <f t="shared" si="1"/>
        <v>125582.05635423757</v>
      </c>
      <c r="E22" s="672">
        <f t="shared" si="2"/>
        <v>76920.154782836835</v>
      </c>
      <c r="F22" s="672">
        <f t="shared" si="3"/>
        <v>124715.88284453117</v>
      </c>
      <c r="G22" s="672">
        <f t="shared" si="4"/>
        <v>103402.54885739718</v>
      </c>
      <c r="H22" s="672">
        <f t="shared" si="5"/>
        <v>126169.81311745117</v>
      </c>
      <c r="I22" s="672">
        <f t="shared" si="6"/>
        <v>98672.790941970467</v>
      </c>
      <c r="J22" s="672">
        <f t="shared" si="7"/>
        <v>116495.39570486464</v>
      </c>
      <c r="K22" s="672">
        <f t="shared" si="8"/>
        <v>125684.23693946544</v>
      </c>
      <c r="L22" s="672">
        <f t="shared" si="9"/>
        <v>94019.869320309081</v>
      </c>
      <c r="M22" s="672">
        <f t="shared" si="10"/>
        <v>120296.43000409538</v>
      </c>
      <c r="N22" s="672">
        <f t="shared" si="11"/>
        <v>173939.5539564158</v>
      </c>
      <c r="O22" s="675">
        <f t="shared" si="12"/>
        <v>1372716.0516270918</v>
      </c>
    </row>
    <row r="23" spans="1:17" x14ac:dyDescent="0.2">
      <c r="A23" s="645" t="s">
        <v>162</v>
      </c>
      <c r="B23" s="676">
        <f>'IEPS GyD '!F25</f>
        <v>3.0057727673021133</v>
      </c>
      <c r="C23" s="672">
        <f t="shared" si="0"/>
        <v>34304.392736495793</v>
      </c>
      <c r="D23" s="672">
        <f t="shared" si="1"/>
        <v>49621.62205886947</v>
      </c>
      <c r="E23" s="672">
        <f t="shared" si="2"/>
        <v>30393.696043462456</v>
      </c>
      <c r="F23" s="672">
        <f t="shared" si="3"/>
        <v>49279.36827051919</v>
      </c>
      <c r="G23" s="672">
        <f t="shared" si="4"/>
        <v>40857.765418748932</v>
      </c>
      <c r="H23" s="672">
        <f t="shared" si="5"/>
        <v>49853.864186554179</v>
      </c>
      <c r="I23" s="672">
        <f t="shared" si="6"/>
        <v>38988.881706196706</v>
      </c>
      <c r="J23" s="672">
        <f t="shared" si="7"/>
        <v>46031.182042116467</v>
      </c>
      <c r="K23" s="672">
        <f t="shared" si="8"/>
        <v>49661.996986061531</v>
      </c>
      <c r="L23" s="672">
        <f t="shared" si="9"/>
        <v>37150.358553427577</v>
      </c>
      <c r="M23" s="672">
        <f t="shared" si="10"/>
        <v>47533.096351412314</v>
      </c>
      <c r="N23" s="672">
        <f t="shared" si="11"/>
        <v>68729.268002803743</v>
      </c>
      <c r="O23" s="675">
        <f t="shared" si="12"/>
        <v>542405.49235666834</v>
      </c>
    </row>
    <row r="24" spans="1:17" x14ac:dyDescent="0.2">
      <c r="A24" s="645" t="s">
        <v>163</v>
      </c>
      <c r="B24" s="676">
        <f>'IEPS GyD '!F26</f>
        <v>34.475044032324909</v>
      </c>
      <c r="C24" s="672">
        <f t="shared" si="0"/>
        <v>393458.03613570047</v>
      </c>
      <c r="D24" s="672">
        <f t="shared" si="1"/>
        <v>569140.69621117343</v>
      </c>
      <c r="E24" s="672">
        <f t="shared" si="2"/>
        <v>348603.86679993826</v>
      </c>
      <c r="F24" s="672">
        <f t="shared" si="3"/>
        <v>565215.1784368552</v>
      </c>
      <c r="G24" s="672">
        <f t="shared" si="4"/>
        <v>468622.67074768344</v>
      </c>
      <c r="H24" s="672">
        <f t="shared" si="5"/>
        <v>571804.42304548016</v>
      </c>
      <c r="I24" s="672">
        <f t="shared" si="6"/>
        <v>447187.30178618891</v>
      </c>
      <c r="J24" s="672">
        <f t="shared" si="7"/>
        <v>527959.74633382028</v>
      </c>
      <c r="K24" s="672">
        <f t="shared" si="8"/>
        <v>569603.78091534332</v>
      </c>
      <c r="L24" s="672">
        <f t="shared" si="9"/>
        <v>426100.15663148218</v>
      </c>
      <c r="M24" s="672">
        <f t="shared" si="10"/>
        <v>545186.11903538287</v>
      </c>
      <c r="N24" s="672">
        <f t="shared" si="11"/>
        <v>788297.96000609105</v>
      </c>
      <c r="O24" s="675">
        <f t="shared" si="12"/>
        <v>6221179.9360851394</v>
      </c>
      <c r="Q24" s="649"/>
    </row>
    <row r="25" spans="1:17" x14ac:dyDescent="0.2">
      <c r="A25" s="645" t="s">
        <v>164</v>
      </c>
      <c r="B25" s="676">
        <f>'IEPS GyD '!F27</f>
        <v>2.4334334852880231</v>
      </c>
      <c r="C25" s="672">
        <f t="shared" si="0"/>
        <v>27772.378166958653</v>
      </c>
      <c r="D25" s="672">
        <f t="shared" si="1"/>
        <v>40173.002439150441</v>
      </c>
      <c r="E25" s="672">
        <f t="shared" si="2"/>
        <v>24606.330358170333</v>
      </c>
      <c r="F25" s="672">
        <f t="shared" si="3"/>
        <v>39895.918343473517</v>
      </c>
      <c r="G25" s="672">
        <f t="shared" si="4"/>
        <v>33077.90115926398</v>
      </c>
      <c r="H25" s="672">
        <f t="shared" si="5"/>
        <v>40361.022563742154</v>
      </c>
      <c r="I25" s="672">
        <f t="shared" si="6"/>
        <v>31564.877867647712</v>
      </c>
      <c r="J25" s="672">
        <f t="shared" si="7"/>
        <v>37266.23015791543</v>
      </c>
      <c r="K25" s="672">
        <f t="shared" si="8"/>
        <v>40205.689440930488</v>
      </c>
      <c r="L25" s="672">
        <f t="shared" si="9"/>
        <v>30076.434079715815</v>
      </c>
      <c r="M25" s="672">
        <f t="shared" si="10"/>
        <v>38482.159922145147</v>
      </c>
      <c r="N25" s="672">
        <f t="shared" si="11"/>
        <v>55642.297380807642</v>
      </c>
      <c r="O25" s="675">
        <f t="shared" si="12"/>
        <v>439124.24187992129</v>
      </c>
      <c r="Q25" s="649"/>
    </row>
    <row r="26" spans="1:17" ht="13.5" thickBot="1" x14ac:dyDescent="0.25">
      <c r="A26" s="645" t="s">
        <v>165</v>
      </c>
      <c r="B26" s="677">
        <f>'IEPS GyD '!F28</f>
        <v>5.2797509583506006</v>
      </c>
      <c r="C26" s="672">
        <f t="shared" si="0"/>
        <v>60256.93372314216</v>
      </c>
      <c r="D26" s="672">
        <f t="shared" si="1"/>
        <v>87162.213148727533</v>
      </c>
      <c r="E26" s="672">
        <f t="shared" si="2"/>
        <v>53387.650443490304</v>
      </c>
      <c r="F26" s="672">
        <f t="shared" si="3"/>
        <v>86561.031719878723</v>
      </c>
      <c r="G26" s="672">
        <f t="shared" si="4"/>
        <v>71768.175050479986</v>
      </c>
      <c r="H26" s="672">
        <f t="shared" si="5"/>
        <v>87570.155029614718</v>
      </c>
      <c r="I26" s="672">
        <f t="shared" si="6"/>
        <v>68485.411735923117</v>
      </c>
      <c r="J26" s="672">
        <f t="shared" si="7"/>
        <v>80855.472557566041</v>
      </c>
      <c r="K26" s="672">
        <f t="shared" si="8"/>
        <v>87233.133200587239</v>
      </c>
      <c r="L26" s="672">
        <f t="shared" si="9"/>
        <v>65255.977866743699</v>
      </c>
      <c r="M26" s="672">
        <f t="shared" si="10"/>
        <v>83493.640552208803</v>
      </c>
      <c r="N26" s="672">
        <f t="shared" si="11"/>
        <v>120725.49946290253</v>
      </c>
      <c r="O26" s="675">
        <f t="shared" si="12"/>
        <v>952755.29449126485</v>
      </c>
    </row>
    <row r="27" spans="1:17" ht="13.5" thickBot="1" x14ac:dyDescent="0.25">
      <c r="A27" s="650" t="s">
        <v>288</v>
      </c>
      <c r="B27" s="679">
        <f t="shared" ref="B27:O27" si="13">SUM(B7:B26)</f>
        <v>100</v>
      </c>
      <c r="C27" s="680">
        <f>'X22.55 POE'!B51</f>
        <v>1141283.636263906</v>
      </c>
      <c r="D27" s="680">
        <f>'X22.55 POE'!C51</f>
        <v>1650877.3583509531</v>
      </c>
      <c r="E27" s="680">
        <f>'X22.55 POE'!D51</f>
        <v>1011177.4374329327</v>
      </c>
      <c r="F27" s="680">
        <f>'X22.55 POE'!E51</f>
        <v>1639490.8093718207</v>
      </c>
      <c r="G27" s="680">
        <f>'X22.55 POE'!F51</f>
        <v>1359309.8541318402</v>
      </c>
      <c r="H27" s="680">
        <f>'X22.55 POE'!G51</f>
        <v>1658603.8947748346</v>
      </c>
      <c r="I27" s="680">
        <f>'X22.55 POE'!H51</f>
        <v>1297133.3738309131</v>
      </c>
      <c r="J27" s="680">
        <f>'X22.55 POE'!I51</f>
        <v>1531425.8796559861</v>
      </c>
      <c r="K27" s="680">
        <f>'X22.55 POE'!J51</f>
        <v>1652220.60450819</v>
      </c>
      <c r="L27" s="680">
        <f>'X22.55 POE'!K51</f>
        <v>1235966.9685467463</v>
      </c>
      <c r="M27" s="680">
        <f>'X22.55 POE'!L51</f>
        <v>1581393.5394083872</v>
      </c>
      <c r="N27" s="680">
        <f>'X22.55 POE'!M51</f>
        <v>2286575.643723493</v>
      </c>
      <c r="O27" s="680">
        <f t="shared" si="13"/>
        <v>18045459.000000004</v>
      </c>
    </row>
    <row r="28" spans="1:17" x14ac:dyDescent="0.2">
      <c r="A28" s="653"/>
      <c r="B28" s="653"/>
      <c r="C28" s="653"/>
      <c r="D28" s="653"/>
      <c r="E28" s="653"/>
      <c r="F28" s="653"/>
      <c r="G28" s="653"/>
      <c r="H28" s="653"/>
      <c r="I28" s="653"/>
      <c r="J28" s="653"/>
      <c r="K28" s="653"/>
      <c r="L28" s="653"/>
      <c r="M28" s="653"/>
      <c r="N28" s="653"/>
      <c r="O28" s="653"/>
    </row>
    <row r="29" spans="1:17" ht="13.5" thickBot="1" x14ac:dyDescent="0.25">
      <c r="A29" s="654" t="s">
        <v>289</v>
      </c>
    </row>
    <row r="30" spans="1:17" x14ac:dyDescent="0.2">
      <c r="A30" s="690" t="s">
        <v>364</v>
      </c>
      <c r="C30" s="649">
        <f>'X22.55 POE'!B52</f>
        <v>4114313.5662639062</v>
      </c>
      <c r="D30" s="649">
        <f>'X22.55 POE'!C52</f>
        <v>4642277.8683509529</v>
      </c>
      <c r="E30" s="649">
        <f>'X22.55 POE'!D52</f>
        <v>4410044.5674329326</v>
      </c>
      <c r="F30" s="649">
        <f>'X22.55 POE'!E52</f>
        <v>4900528.8193718204</v>
      </c>
      <c r="G30" s="649">
        <f>'X22.55 POE'!F52</f>
        <v>4839820.44413184</v>
      </c>
      <c r="H30" s="649">
        <f>'X22.55 POE'!G52</f>
        <v>5002480.1447748346</v>
      </c>
      <c r="I30" s="649">
        <f>'X22.55 POE'!H52</f>
        <v>4763694.3938309131</v>
      </c>
      <c r="J30" s="649">
        <f>'X22.55 POE'!I52</f>
        <v>4972414.9696559859</v>
      </c>
      <c r="K30" s="649">
        <f>'X22.55 POE'!J52</f>
        <v>4935026.4945081901</v>
      </c>
      <c r="L30" s="649">
        <f>'X22.55 POE'!K52</f>
        <v>4691808.0185467461</v>
      </c>
      <c r="M30" s="649">
        <f>'X22.55 POE'!L52</f>
        <v>4909779.4694083873</v>
      </c>
      <c r="N30" s="649">
        <f>'X22.55 POE'!M52</f>
        <v>4736520.2437234931</v>
      </c>
      <c r="O30" s="649">
        <f>SUM(C30:N30)</f>
        <v>56918709</v>
      </c>
    </row>
    <row r="31" spans="1:17" x14ac:dyDescent="0.2">
      <c r="A31" s="693" t="s">
        <v>365</v>
      </c>
      <c r="C31" s="649">
        <f>'X22.55 POE'!B50</f>
        <v>2973029.93</v>
      </c>
      <c r="D31" s="649">
        <f>'X22.55 POE'!C50</f>
        <v>2991400.51</v>
      </c>
      <c r="E31" s="649">
        <f>'X22.55 POE'!D50</f>
        <v>3398867.13</v>
      </c>
      <c r="F31" s="649">
        <f>'X22.55 POE'!E50</f>
        <v>3261038.01</v>
      </c>
      <c r="G31" s="649">
        <f>'X22.55 POE'!F50</f>
        <v>3480510.59</v>
      </c>
      <c r="H31" s="649">
        <f>'X22.55 POE'!G50</f>
        <v>3343876.25</v>
      </c>
      <c r="I31" s="649">
        <f>'X22.55 POE'!H50</f>
        <v>3466561.02</v>
      </c>
      <c r="J31" s="649">
        <f>'X22.55 POE'!I50</f>
        <v>3440989.09</v>
      </c>
      <c r="K31" s="649">
        <f>'X22.55 POE'!J50</f>
        <v>3282805.89</v>
      </c>
      <c r="L31" s="649">
        <f>'X22.55 POE'!K50</f>
        <v>3455841.05</v>
      </c>
      <c r="M31" s="649">
        <f>'X22.55 POE'!L50</f>
        <v>3328385.93</v>
      </c>
      <c r="N31" s="649">
        <f>'X22.55 POE'!M50</f>
        <v>2449944.6</v>
      </c>
      <c r="O31" s="649">
        <f>SUM(C31:N31)</f>
        <v>38873250.000000007</v>
      </c>
    </row>
    <row r="32" spans="1:17" ht="13.5" thickBot="1" x14ac:dyDescent="0.25">
      <c r="A32" s="697" t="s">
        <v>350</v>
      </c>
      <c r="C32" s="649">
        <f>C30-C31</f>
        <v>1141283.636263906</v>
      </c>
      <c r="D32" s="649">
        <f t="shared" ref="D32:N32" si="14">D30-D31</f>
        <v>1650877.3583509531</v>
      </c>
      <c r="E32" s="649">
        <f t="shared" si="14"/>
        <v>1011177.4374329327</v>
      </c>
      <c r="F32" s="649">
        <f t="shared" si="14"/>
        <v>1639490.8093718207</v>
      </c>
      <c r="G32" s="649">
        <f t="shared" si="14"/>
        <v>1359309.8541318402</v>
      </c>
      <c r="H32" s="649">
        <f t="shared" si="14"/>
        <v>1658603.8947748346</v>
      </c>
      <c r="I32" s="649">
        <f t="shared" si="14"/>
        <v>1297133.3738309131</v>
      </c>
      <c r="J32" s="649">
        <f t="shared" si="14"/>
        <v>1531425.8796559861</v>
      </c>
      <c r="K32" s="649">
        <f t="shared" si="14"/>
        <v>1652220.60450819</v>
      </c>
      <c r="L32" s="649">
        <f t="shared" si="14"/>
        <v>1235966.9685467463</v>
      </c>
      <c r="M32" s="649">
        <f t="shared" si="14"/>
        <v>1581393.5394083872</v>
      </c>
      <c r="N32" s="649">
        <f t="shared" si="14"/>
        <v>2286575.643723493</v>
      </c>
      <c r="O32" s="649">
        <f t="shared" ref="O32" si="15">O30-O31</f>
        <v>18045458.999999993</v>
      </c>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0"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8" tint="0.39997558519241921"/>
  </sheetPr>
  <dimension ref="A1:Q31"/>
  <sheetViews>
    <sheetView workbookViewId="0">
      <selection activeCell="C30" sqref="C30"/>
    </sheetView>
  </sheetViews>
  <sheetFormatPr baseColWidth="10" defaultRowHeight="12.75" x14ac:dyDescent="0.2"/>
  <cols>
    <col min="1" max="1" width="16.85546875" style="640" customWidth="1"/>
    <col min="2" max="2" width="9.28515625" style="640" bestFit="1" customWidth="1"/>
    <col min="3" max="14" width="11.7109375" style="640" bestFit="1" customWidth="1"/>
    <col min="15" max="15" width="13" style="640" bestFit="1" customWidth="1"/>
    <col min="16" max="16384" width="11.42578125" style="640"/>
  </cols>
  <sheetData>
    <row r="1" spans="1:15" ht="15.75" x14ac:dyDescent="0.25">
      <c r="A1" s="1235" t="s">
        <v>277</v>
      </c>
      <c r="B1" s="1235"/>
      <c r="C1" s="1235"/>
      <c r="D1" s="1235"/>
      <c r="E1" s="1235"/>
      <c r="F1" s="1235"/>
      <c r="G1" s="1235"/>
      <c r="H1" s="1235"/>
      <c r="I1" s="1235"/>
      <c r="J1" s="1235"/>
      <c r="K1" s="1235"/>
      <c r="L1" s="1235"/>
      <c r="M1" s="1235"/>
      <c r="N1" s="1235"/>
      <c r="O1" s="1235"/>
    </row>
    <row r="2" spans="1:15" x14ac:dyDescent="0.2">
      <c r="A2" s="1236" t="s">
        <v>278</v>
      </c>
      <c r="B2" s="1236"/>
      <c r="C2" s="1236"/>
      <c r="D2" s="1236"/>
      <c r="E2" s="1236"/>
      <c r="F2" s="1236"/>
      <c r="G2" s="1236"/>
      <c r="H2" s="1236"/>
      <c r="I2" s="1236"/>
      <c r="J2" s="1236"/>
      <c r="K2" s="1236"/>
      <c r="L2" s="1236"/>
      <c r="M2" s="1236"/>
      <c r="N2" s="1236"/>
      <c r="O2" s="1236"/>
    </row>
    <row r="3" spans="1:15" x14ac:dyDescent="0.2">
      <c r="A3" s="1236" t="s">
        <v>279</v>
      </c>
      <c r="B3" s="1236"/>
      <c r="C3" s="1236"/>
      <c r="D3" s="1236"/>
      <c r="E3" s="1236"/>
      <c r="F3" s="1236"/>
      <c r="G3" s="1236"/>
      <c r="H3" s="1236"/>
      <c r="I3" s="1236"/>
      <c r="J3" s="1236"/>
      <c r="K3" s="1236"/>
      <c r="L3" s="1236"/>
      <c r="M3" s="1236"/>
      <c r="N3" s="1236"/>
      <c r="O3" s="1236"/>
    </row>
    <row r="4" spans="1:15" x14ac:dyDescent="0.2">
      <c r="A4" s="1237" t="s">
        <v>357</v>
      </c>
      <c r="B4" s="1237"/>
      <c r="C4" s="1237"/>
      <c r="D4" s="1237"/>
      <c r="E4" s="1237"/>
      <c r="F4" s="1237"/>
      <c r="G4" s="1237"/>
      <c r="H4" s="1237"/>
      <c r="I4" s="1237"/>
      <c r="J4" s="1237"/>
      <c r="K4" s="1237"/>
      <c r="L4" s="1237"/>
      <c r="M4" s="1237"/>
      <c r="N4" s="1237"/>
      <c r="O4" s="1237"/>
    </row>
    <row r="5" spans="1:15" ht="13.5" thickBot="1" x14ac:dyDescent="0.25"/>
    <row r="6" spans="1:15" ht="23.25" thickBot="1" x14ac:dyDescent="0.25">
      <c r="A6" s="641" t="s">
        <v>346</v>
      </c>
      <c r="B6" s="642" t="s">
        <v>281</v>
      </c>
      <c r="C6" s="641" t="s">
        <v>1</v>
      </c>
      <c r="D6" s="643" t="s">
        <v>2</v>
      </c>
      <c r="E6" s="641" t="s">
        <v>3</v>
      </c>
      <c r="F6" s="643" t="s">
        <v>4</v>
      </c>
      <c r="G6" s="641" t="s">
        <v>5</v>
      </c>
      <c r="H6" s="641" t="s">
        <v>6</v>
      </c>
      <c r="I6" s="641" t="s">
        <v>7</v>
      </c>
      <c r="J6" s="643" t="s">
        <v>8</v>
      </c>
      <c r="K6" s="641" t="s">
        <v>9</v>
      </c>
      <c r="L6" s="643" t="s">
        <v>10</v>
      </c>
      <c r="M6" s="641" t="s">
        <v>11</v>
      </c>
      <c r="N6" s="641" t="s">
        <v>12</v>
      </c>
      <c r="O6" s="644" t="s">
        <v>168</v>
      </c>
    </row>
    <row r="7" spans="1:15" x14ac:dyDescent="0.2">
      <c r="A7" s="645" t="s">
        <v>282</v>
      </c>
      <c r="B7" s="656">
        <v>3.6499999999999998E-2</v>
      </c>
      <c r="C7" s="672">
        <f>$C$27*B7</f>
        <v>108515.592445</v>
      </c>
      <c r="D7" s="673">
        <f>$D$27*B7</f>
        <v>109186.11861499998</v>
      </c>
      <c r="E7" s="672">
        <f>$E$27*B7</f>
        <v>124058.65024499998</v>
      </c>
      <c r="F7" s="673">
        <f>$F$27*B7</f>
        <v>119027.88736499999</v>
      </c>
      <c r="G7" s="672">
        <f>$G$27*B7</f>
        <v>127038.63653499998</v>
      </c>
      <c r="H7" s="672">
        <f>$H$27*B7</f>
        <v>122051.483125</v>
      </c>
      <c r="I7" s="674">
        <f>$I$27*B7</f>
        <v>126529.47722999999</v>
      </c>
      <c r="J7" s="673">
        <f>$J$27*B7</f>
        <v>125596.10178499999</v>
      </c>
      <c r="K7" s="672">
        <f>$K$27*B7</f>
        <v>119822.414985</v>
      </c>
      <c r="L7" s="673">
        <f>$L$27*B7</f>
        <v>126138.19832499999</v>
      </c>
      <c r="M7" s="672">
        <f>$M$27*B7</f>
        <v>121486.08644499999</v>
      </c>
      <c r="N7" s="672">
        <f>$N$27*B7</f>
        <v>89422.977899999998</v>
      </c>
      <c r="O7" s="675">
        <f>SUM(C7:N7)</f>
        <v>1418873.625</v>
      </c>
    </row>
    <row r="8" spans="1:15" x14ac:dyDescent="0.2">
      <c r="A8" s="645" t="s">
        <v>147</v>
      </c>
      <c r="B8" s="657">
        <v>1.49E-2</v>
      </c>
      <c r="C8" s="672">
        <f t="shared" ref="C8:C26" si="0">$C$27*B8</f>
        <v>44298.145957000001</v>
      </c>
      <c r="D8" s="673">
        <f t="shared" ref="D8:D26" si="1">$D$27*B8</f>
        <v>44571.867598999997</v>
      </c>
      <c r="E8" s="672">
        <f t="shared" ref="E8:E26" si="2">$E$27*B8</f>
        <v>50643.120236999996</v>
      </c>
      <c r="F8" s="673">
        <f t="shared" ref="F8:F26" si="3">$F$27*B8</f>
        <v>48589.466348999995</v>
      </c>
      <c r="G8" s="672">
        <f t="shared" ref="G8:G26" si="4">$G$27*B8</f>
        <v>51859.607790999995</v>
      </c>
      <c r="H8" s="672">
        <f t="shared" ref="H8:H26" si="5">$H$27*B8</f>
        <v>49823.756125</v>
      </c>
      <c r="I8" s="672">
        <f t="shared" ref="I8:I26" si="6">$I$27*B8</f>
        <v>51651.759198</v>
      </c>
      <c r="J8" s="673">
        <f t="shared" ref="J8:J26" si="7">$J$27*B8</f>
        <v>51270.737440999997</v>
      </c>
      <c r="K8" s="672">
        <f t="shared" ref="K8:K26" si="8">$K$27*B8</f>
        <v>48913.807761000004</v>
      </c>
      <c r="L8" s="673">
        <f t="shared" ref="L8:L26" si="9">$L$27*B8</f>
        <v>51492.031644999995</v>
      </c>
      <c r="M8" s="672">
        <f t="shared" ref="M8:M26" si="10">$M$27*B8</f>
        <v>49592.950357000002</v>
      </c>
      <c r="N8" s="672">
        <f t="shared" ref="N8:N26" si="11">$N$27*B8</f>
        <v>36504.17454</v>
      </c>
      <c r="O8" s="675">
        <f t="shared" ref="O8:O26" si="12">SUM(C8:N8)</f>
        <v>579211.42500000005</v>
      </c>
    </row>
    <row r="9" spans="1:15" x14ac:dyDescent="0.2">
      <c r="A9" s="645" t="s">
        <v>148</v>
      </c>
      <c r="B9" s="657">
        <v>1.09E-2</v>
      </c>
      <c r="C9" s="672">
        <f t="shared" si="0"/>
        <v>32406.026237000002</v>
      </c>
      <c r="D9" s="673">
        <f t="shared" si="1"/>
        <v>32606.265558999996</v>
      </c>
      <c r="E9" s="672">
        <f t="shared" si="2"/>
        <v>37047.651717000001</v>
      </c>
      <c r="F9" s="673">
        <f t="shared" si="3"/>
        <v>35545.314308999994</v>
      </c>
      <c r="G9" s="672">
        <f t="shared" si="4"/>
        <v>37937.565430999995</v>
      </c>
      <c r="H9" s="672">
        <f t="shared" si="5"/>
        <v>36448.251125000003</v>
      </c>
      <c r="I9" s="672">
        <f t="shared" si="6"/>
        <v>37785.515118000003</v>
      </c>
      <c r="J9" s="673">
        <f t="shared" si="7"/>
        <v>37506.781081000001</v>
      </c>
      <c r="K9" s="672">
        <f t="shared" si="8"/>
        <v>35782.584200999998</v>
      </c>
      <c r="L9" s="673">
        <f t="shared" si="9"/>
        <v>37668.667444999999</v>
      </c>
      <c r="M9" s="672">
        <f t="shared" si="10"/>
        <v>36279.406637</v>
      </c>
      <c r="N9" s="672">
        <f t="shared" si="11"/>
        <v>26704.396140000001</v>
      </c>
      <c r="O9" s="675">
        <f t="shared" si="12"/>
        <v>423718.42500000005</v>
      </c>
    </row>
    <row r="10" spans="1:15" x14ac:dyDescent="0.2">
      <c r="A10" s="645" t="s">
        <v>283</v>
      </c>
      <c r="B10" s="657">
        <v>8.8200000000000001E-2</v>
      </c>
      <c r="C10" s="672">
        <f t="shared" si="0"/>
        <v>262221.239826</v>
      </c>
      <c r="D10" s="673">
        <f t="shared" si="1"/>
        <v>263841.524982</v>
      </c>
      <c r="E10" s="672">
        <f t="shared" si="2"/>
        <v>299780.08086599997</v>
      </c>
      <c r="F10" s="673">
        <f t="shared" si="3"/>
        <v>287623.55248199997</v>
      </c>
      <c r="G10" s="672">
        <f t="shared" si="4"/>
        <v>306981.03403799998</v>
      </c>
      <c r="H10" s="672">
        <f t="shared" si="5"/>
        <v>294929.88524999999</v>
      </c>
      <c r="I10" s="672">
        <f t="shared" si="6"/>
        <v>305750.68196399999</v>
      </c>
      <c r="J10" s="673">
        <f t="shared" si="7"/>
        <v>303495.237738</v>
      </c>
      <c r="K10" s="672">
        <f t="shared" si="8"/>
        <v>289543.479498</v>
      </c>
      <c r="L10" s="673">
        <f t="shared" si="9"/>
        <v>304805.18060999998</v>
      </c>
      <c r="M10" s="672">
        <f t="shared" si="10"/>
        <v>293563.63902599999</v>
      </c>
      <c r="N10" s="672">
        <f t="shared" si="11"/>
        <v>216085.11372000002</v>
      </c>
      <c r="O10" s="675">
        <f t="shared" si="12"/>
        <v>3428620.6500000004</v>
      </c>
    </row>
    <row r="11" spans="1:15" x14ac:dyDescent="0.2">
      <c r="A11" s="645" t="s">
        <v>150</v>
      </c>
      <c r="B11" s="657">
        <v>6.6299999999999998E-2</v>
      </c>
      <c r="C11" s="672">
        <f t="shared" si="0"/>
        <v>197111.88435900002</v>
      </c>
      <c r="D11" s="673">
        <f t="shared" si="1"/>
        <v>198329.85381299997</v>
      </c>
      <c r="E11" s="672">
        <f t="shared" si="2"/>
        <v>225344.89071899999</v>
      </c>
      <c r="F11" s="673">
        <f t="shared" si="3"/>
        <v>216206.82006299999</v>
      </c>
      <c r="G11" s="672">
        <f t="shared" si="4"/>
        <v>230757.85211699997</v>
      </c>
      <c r="H11" s="672">
        <f t="shared" si="5"/>
        <v>221698.995375</v>
      </c>
      <c r="I11" s="672">
        <f t="shared" si="6"/>
        <v>229832.99562599999</v>
      </c>
      <c r="J11" s="673">
        <f t="shared" si="7"/>
        <v>228137.57666699999</v>
      </c>
      <c r="K11" s="672">
        <f t="shared" si="8"/>
        <v>217650.03050699999</v>
      </c>
      <c r="L11" s="673">
        <f t="shared" si="9"/>
        <v>229122.26161499997</v>
      </c>
      <c r="M11" s="672">
        <f t="shared" si="10"/>
        <v>220671.98715900001</v>
      </c>
      <c r="N11" s="672">
        <f t="shared" si="11"/>
        <v>162431.32698000001</v>
      </c>
      <c r="O11" s="675">
        <f t="shared" si="12"/>
        <v>2577296.4749999992</v>
      </c>
    </row>
    <row r="12" spans="1:15" x14ac:dyDescent="0.2">
      <c r="A12" s="645" t="s">
        <v>284</v>
      </c>
      <c r="B12" s="657">
        <v>3.2199999999999999E-2</v>
      </c>
      <c r="C12" s="672">
        <f t="shared" si="0"/>
        <v>95731.563746</v>
      </c>
      <c r="D12" s="673">
        <f t="shared" si="1"/>
        <v>96323.096421999988</v>
      </c>
      <c r="E12" s="672">
        <f t="shared" si="2"/>
        <v>109443.52158599999</v>
      </c>
      <c r="F12" s="673">
        <f t="shared" si="3"/>
        <v>105005.42392199999</v>
      </c>
      <c r="G12" s="672">
        <f t="shared" si="4"/>
        <v>112072.44099799999</v>
      </c>
      <c r="H12" s="672">
        <f t="shared" si="5"/>
        <v>107672.81525</v>
      </c>
      <c r="I12" s="672">
        <f t="shared" si="6"/>
        <v>111623.264844</v>
      </c>
      <c r="J12" s="673">
        <f t="shared" si="7"/>
        <v>110799.84869799999</v>
      </c>
      <c r="K12" s="672">
        <f t="shared" si="8"/>
        <v>105706.34965800001</v>
      </c>
      <c r="L12" s="673">
        <f t="shared" si="9"/>
        <v>111278.08180999999</v>
      </c>
      <c r="M12" s="672">
        <f t="shared" si="10"/>
        <v>107174.026946</v>
      </c>
      <c r="N12" s="672">
        <f t="shared" si="11"/>
        <v>78888.216119999997</v>
      </c>
      <c r="O12" s="675">
        <f t="shared" si="12"/>
        <v>1251718.6499999999</v>
      </c>
    </row>
    <row r="13" spans="1:15" x14ac:dyDescent="0.2">
      <c r="A13" s="645" t="s">
        <v>152</v>
      </c>
      <c r="B13" s="657">
        <v>1.11E-2</v>
      </c>
      <c r="C13" s="672">
        <f t="shared" si="0"/>
        <v>33000.632223000001</v>
      </c>
      <c r="D13" s="673">
        <f t="shared" si="1"/>
        <v>33204.545660999996</v>
      </c>
      <c r="E13" s="672">
        <f t="shared" si="2"/>
        <v>37727.425143</v>
      </c>
      <c r="F13" s="673">
        <f t="shared" si="3"/>
        <v>36197.521910999996</v>
      </c>
      <c r="G13" s="672">
        <f t="shared" si="4"/>
        <v>38633.667548999998</v>
      </c>
      <c r="H13" s="672">
        <f t="shared" si="5"/>
        <v>37117.026375000001</v>
      </c>
      <c r="I13" s="672">
        <f t="shared" si="6"/>
        <v>38478.827322000005</v>
      </c>
      <c r="J13" s="673">
        <f t="shared" si="7"/>
        <v>38194.978899000002</v>
      </c>
      <c r="K13" s="672">
        <f t="shared" si="8"/>
        <v>36439.145379000001</v>
      </c>
      <c r="L13" s="673">
        <f t="shared" si="9"/>
        <v>38359.835655000003</v>
      </c>
      <c r="M13" s="672">
        <f t="shared" si="10"/>
        <v>36945.083823000001</v>
      </c>
      <c r="N13" s="672">
        <f t="shared" si="11"/>
        <v>27194.385060000001</v>
      </c>
      <c r="O13" s="675">
        <f t="shared" si="12"/>
        <v>431493.07500000001</v>
      </c>
    </row>
    <row r="14" spans="1:15" x14ac:dyDescent="0.2">
      <c r="A14" s="645" t="s">
        <v>153</v>
      </c>
      <c r="B14" s="657">
        <v>2.7099999999999999E-2</v>
      </c>
      <c r="C14" s="672">
        <f t="shared" si="0"/>
        <v>80569.111103000003</v>
      </c>
      <c r="D14" s="673">
        <f t="shared" si="1"/>
        <v>81066.953820999988</v>
      </c>
      <c r="E14" s="672">
        <f t="shared" si="2"/>
        <v>92109.299222999995</v>
      </c>
      <c r="F14" s="673">
        <f t="shared" si="3"/>
        <v>88374.130070999992</v>
      </c>
      <c r="G14" s="672">
        <f t="shared" si="4"/>
        <v>94321.836988999989</v>
      </c>
      <c r="H14" s="672">
        <f t="shared" si="5"/>
        <v>90619.046374999991</v>
      </c>
      <c r="I14" s="672">
        <f t="shared" si="6"/>
        <v>93943.803641999999</v>
      </c>
      <c r="J14" s="673">
        <f t="shared" si="7"/>
        <v>93250.804338999995</v>
      </c>
      <c r="K14" s="672">
        <f t="shared" si="8"/>
        <v>88964.039619000003</v>
      </c>
      <c r="L14" s="673">
        <f t="shared" si="9"/>
        <v>93653.292454999988</v>
      </c>
      <c r="M14" s="672">
        <f t="shared" si="10"/>
        <v>90199.258703</v>
      </c>
      <c r="N14" s="672">
        <f t="shared" si="11"/>
        <v>66393.498659999997</v>
      </c>
      <c r="O14" s="675">
        <f t="shared" si="12"/>
        <v>1053465.075</v>
      </c>
    </row>
    <row r="15" spans="1:15" x14ac:dyDescent="0.2">
      <c r="A15" s="645" t="s">
        <v>154</v>
      </c>
      <c r="B15" s="657">
        <v>1.6899999999999998E-2</v>
      </c>
      <c r="C15" s="672">
        <f t="shared" si="0"/>
        <v>50244.205816999995</v>
      </c>
      <c r="D15" s="673">
        <f t="shared" si="1"/>
        <v>50554.668618999989</v>
      </c>
      <c r="E15" s="672">
        <f t="shared" si="2"/>
        <v>57440.854496999993</v>
      </c>
      <c r="F15" s="673">
        <f t="shared" si="3"/>
        <v>55111.542368999988</v>
      </c>
      <c r="G15" s="672">
        <f t="shared" si="4"/>
        <v>58820.628970999991</v>
      </c>
      <c r="H15" s="672">
        <f t="shared" si="5"/>
        <v>56511.508624999995</v>
      </c>
      <c r="I15" s="672">
        <f t="shared" si="6"/>
        <v>58584.881237999994</v>
      </c>
      <c r="J15" s="673">
        <f t="shared" si="7"/>
        <v>58152.715620999988</v>
      </c>
      <c r="K15" s="672">
        <f t="shared" si="8"/>
        <v>55479.419540999996</v>
      </c>
      <c r="L15" s="673">
        <f t="shared" si="9"/>
        <v>58403.713744999994</v>
      </c>
      <c r="M15" s="672">
        <f t="shared" si="10"/>
        <v>56249.722216999995</v>
      </c>
      <c r="N15" s="672">
        <f t="shared" si="11"/>
        <v>41404.063739999998</v>
      </c>
      <c r="O15" s="675">
        <f t="shared" si="12"/>
        <v>656957.92499999993</v>
      </c>
    </row>
    <row r="16" spans="1:15" x14ac:dyDescent="0.2">
      <c r="A16" s="645" t="s">
        <v>155</v>
      </c>
      <c r="B16" s="657">
        <v>1.2699999999999999E-2</v>
      </c>
      <c r="C16" s="672">
        <f t="shared" si="0"/>
        <v>37757.480110999997</v>
      </c>
      <c r="D16" s="673">
        <f t="shared" si="1"/>
        <v>37990.786476999994</v>
      </c>
      <c r="E16" s="672">
        <f t="shared" si="2"/>
        <v>43165.612550999998</v>
      </c>
      <c r="F16" s="673">
        <f t="shared" si="3"/>
        <v>41415.182726999992</v>
      </c>
      <c r="G16" s="672">
        <f t="shared" si="4"/>
        <v>44202.484492999996</v>
      </c>
      <c r="H16" s="672">
        <f t="shared" si="5"/>
        <v>42467.228374999999</v>
      </c>
      <c r="I16" s="672">
        <f t="shared" si="6"/>
        <v>44025.324953999996</v>
      </c>
      <c r="J16" s="673">
        <f t="shared" si="7"/>
        <v>43700.561442999999</v>
      </c>
      <c r="K16" s="672">
        <f t="shared" si="8"/>
        <v>41691.634803000001</v>
      </c>
      <c r="L16" s="673">
        <f t="shared" si="9"/>
        <v>43889.181334999994</v>
      </c>
      <c r="M16" s="672">
        <f t="shared" si="10"/>
        <v>42270.501311</v>
      </c>
      <c r="N16" s="672">
        <f t="shared" si="11"/>
        <v>31114.296419999999</v>
      </c>
      <c r="O16" s="675">
        <f t="shared" si="12"/>
        <v>493690.27500000002</v>
      </c>
    </row>
    <row r="17" spans="1:17" x14ac:dyDescent="0.2">
      <c r="A17" s="645" t="s">
        <v>156</v>
      </c>
      <c r="B17" s="657">
        <v>3.39E-2</v>
      </c>
      <c r="C17" s="672">
        <f t="shared" si="0"/>
        <v>100785.71462700001</v>
      </c>
      <c r="D17" s="673">
        <f t="shared" si="1"/>
        <v>101408.47728899999</v>
      </c>
      <c r="E17" s="672">
        <f t="shared" si="2"/>
        <v>115221.595707</v>
      </c>
      <c r="F17" s="673">
        <f t="shared" si="3"/>
        <v>110549.188539</v>
      </c>
      <c r="G17" s="672">
        <f t="shared" si="4"/>
        <v>117989.30900099999</v>
      </c>
      <c r="H17" s="672">
        <f t="shared" si="5"/>
        <v>113357.40487499999</v>
      </c>
      <c r="I17" s="672">
        <f t="shared" si="6"/>
        <v>117516.418578</v>
      </c>
      <c r="J17" s="673">
        <f t="shared" si="7"/>
        <v>116649.530151</v>
      </c>
      <c r="K17" s="672">
        <f t="shared" si="8"/>
        <v>111287.11967100001</v>
      </c>
      <c r="L17" s="673">
        <f t="shared" si="9"/>
        <v>117153.01159499999</v>
      </c>
      <c r="M17" s="672">
        <f t="shared" si="10"/>
        <v>112832.283027</v>
      </c>
      <c r="N17" s="672">
        <f t="shared" si="11"/>
        <v>83053.121939999997</v>
      </c>
      <c r="O17" s="675">
        <f t="shared" si="12"/>
        <v>1317803.175</v>
      </c>
    </row>
    <row r="18" spans="1:17" x14ac:dyDescent="0.2">
      <c r="A18" s="645" t="s">
        <v>157</v>
      </c>
      <c r="B18" s="657">
        <v>2.2100000000000002E-2</v>
      </c>
      <c r="C18" s="672">
        <f t="shared" si="0"/>
        <v>65703.961453000011</v>
      </c>
      <c r="D18" s="673">
        <f t="shared" si="1"/>
        <v>66109.951270999998</v>
      </c>
      <c r="E18" s="672">
        <f t="shared" si="2"/>
        <v>75114.963573000001</v>
      </c>
      <c r="F18" s="673">
        <f t="shared" si="3"/>
        <v>72068.940021000002</v>
      </c>
      <c r="G18" s="672">
        <f t="shared" si="4"/>
        <v>76919.284039000006</v>
      </c>
      <c r="H18" s="672">
        <f t="shared" si="5"/>
        <v>73899.665125</v>
      </c>
      <c r="I18" s="672">
        <f t="shared" si="6"/>
        <v>76610.998542000001</v>
      </c>
      <c r="J18" s="673">
        <f t="shared" si="7"/>
        <v>76045.858888999996</v>
      </c>
      <c r="K18" s="672">
        <f t="shared" si="8"/>
        <v>72550.010169000001</v>
      </c>
      <c r="L18" s="673">
        <f t="shared" si="9"/>
        <v>76374.087205000003</v>
      </c>
      <c r="M18" s="672">
        <f t="shared" si="10"/>
        <v>73557.329053000009</v>
      </c>
      <c r="N18" s="672">
        <f t="shared" si="11"/>
        <v>54143.775660000007</v>
      </c>
      <c r="O18" s="675">
        <f t="shared" si="12"/>
        <v>859098.82499999995</v>
      </c>
    </row>
    <row r="19" spans="1:17" x14ac:dyDescent="0.2">
      <c r="A19" s="645" t="s">
        <v>158</v>
      </c>
      <c r="B19" s="657">
        <v>3.95E-2</v>
      </c>
      <c r="C19" s="672">
        <f t="shared" si="0"/>
        <v>117434.68223500001</v>
      </c>
      <c r="D19" s="673">
        <f t="shared" si="1"/>
        <v>118160.32014499999</v>
      </c>
      <c r="E19" s="672">
        <f t="shared" si="2"/>
        <v>134255.25163499999</v>
      </c>
      <c r="F19" s="673">
        <f t="shared" si="3"/>
        <v>128811.001395</v>
      </c>
      <c r="G19" s="672">
        <f t="shared" si="4"/>
        <v>137480.168305</v>
      </c>
      <c r="H19" s="672">
        <f t="shared" si="5"/>
        <v>132083.111875</v>
      </c>
      <c r="I19" s="672">
        <f t="shared" si="6"/>
        <v>136929.16029</v>
      </c>
      <c r="J19" s="673">
        <f t="shared" si="7"/>
        <v>135919.069055</v>
      </c>
      <c r="K19" s="672">
        <f t="shared" si="8"/>
        <v>129670.83265500001</v>
      </c>
      <c r="L19" s="673">
        <f t="shared" si="9"/>
        <v>136505.721475</v>
      </c>
      <c r="M19" s="672">
        <f t="shared" si="10"/>
        <v>131471.24423500002</v>
      </c>
      <c r="N19" s="672">
        <f t="shared" si="11"/>
        <v>96772.811700000006</v>
      </c>
      <c r="O19" s="675">
        <f t="shared" si="12"/>
        <v>1535493.375</v>
      </c>
    </row>
    <row r="20" spans="1:17" x14ac:dyDescent="0.2">
      <c r="A20" s="645" t="s">
        <v>285</v>
      </c>
      <c r="B20" s="657">
        <v>7.4999999999999997E-3</v>
      </c>
      <c r="C20" s="672">
        <f t="shared" si="0"/>
        <v>22297.724474999999</v>
      </c>
      <c r="D20" s="673">
        <f t="shared" si="1"/>
        <v>22435.503824999996</v>
      </c>
      <c r="E20" s="672">
        <f t="shared" si="2"/>
        <v>25491.503474999998</v>
      </c>
      <c r="F20" s="673">
        <f t="shared" si="3"/>
        <v>24457.785074999996</v>
      </c>
      <c r="G20" s="672">
        <f t="shared" si="4"/>
        <v>26103.829424999996</v>
      </c>
      <c r="H20" s="672">
        <f t="shared" si="5"/>
        <v>25079.071874999998</v>
      </c>
      <c r="I20" s="672">
        <f t="shared" si="6"/>
        <v>25999.20765</v>
      </c>
      <c r="J20" s="673">
        <f t="shared" si="7"/>
        <v>25807.418174999999</v>
      </c>
      <c r="K20" s="672">
        <f t="shared" si="8"/>
        <v>24621.044174999999</v>
      </c>
      <c r="L20" s="673">
        <f t="shared" si="9"/>
        <v>25918.807874999999</v>
      </c>
      <c r="M20" s="672">
        <f t="shared" si="10"/>
        <v>24962.894475000001</v>
      </c>
      <c r="N20" s="672">
        <f t="shared" si="11"/>
        <v>18374.584500000001</v>
      </c>
      <c r="O20" s="675">
        <f t="shared" si="12"/>
        <v>291549.37499999994</v>
      </c>
    </row>
    <row r="21" spans="1:17" x14ac:dyDescent="0.2">
      <c r="A21" s="645" t="s">
        <v>286</v>
      </c>
      <c r="B21" s="657">
        <v>2.2800000000000001E-2</v>
      </c>
      <c r="C21" s="672">
        <f t="shared" si="0"/>
        <v>67785.082404000001</v>
      </c>
      <c r="D21" s="673">
        <f t="shared" si="1"/>
        <v>68203.931627999991</v>
      </c>
      <c r="E21" s="672">
        <f t="shared" si="2"/>
        <v>77494.170564</v>
      </c>
      <c r="F21" s="673">
        <f t="shared" si="3"/>
        <v>74351.666627999992</v>
      </c>
      <c r="G21" s="672">
        <f t="shared" si="4"/>
        <v>79355.641451999996</v>
      </c>
      <c r="H21" s="672">
        <f t="shared" si="5"/>
        <v>76240.378500000006</v>
      </c>
      <c r="I21" s="672">
        <f t="shared" si="6"/>
        <v>79037.591256</v>
      </c>
      <c r="J21" s="673">
        <f t="shared" si="7"/>
        <v>78454.551252000005</v>
      </c>
      <c r="K21" s="672">
        <f t="shared" si="8"/>
        <v>74847.974291999999</v>
      </c>
      <c r="L21" s="673">
        <f t="shared" si="9"/>
        <v>78793.175940000001</v>
      </c>
      <c r="M21" s="672">
        <f t="shared" si="10"/>
        <v>75887.199204000004</v>
      </c>
      <c r="N21" s="672">
        <f t="shared" si="11"/>
        <v>55858.736880000004</v>
      </c>
      <c r="O21" s="675">
        <f t="shared" si="12"/>
        <v>886310.09999999986</v>
      </c>
    </row>
    <row r="22" spans="1:17" x14ac:dyDescent="0.2">
      <c r="A22" s="645" t="s">
        <v>287</v>
      </c>
      <c r="B22" s="657">
        <v>8.8800000000000004E-2</v>
      </c>
      <c r="C22" s="672">
        <f t="shared" si="0"/>
        <v>264005.057784</v>
      </c>
      <c r="D22" s="673">
        <f t="shared" si="1"/>
        <v>265636.36528799997</v>
      </c>
      <c r="E22" s="672">
        <f t="shared" si="2"/>
        <v>301819.401144</v>
      </c>
      <c r="F22" s="673">
        <f t="shared" si="3"/>
        <v>289580.17528799997</v>
      </c>
      <c r="G22" s="672">
        <f t="shared" si="4"/>
        <v>309069.34039199998</v>
      </c>
      <c r="H22" s="672">
        <f t="shared" si="5"/>
        <v>296936.21100000001</v>
      </c>
      <c r="I22" s="672">
        <f t="shared" si="6"/>
        <v>307830.61857600004</v>
      </c>
      <c r="J22" s="673">
        <f t="shared" si="7"/>
        <v>305559.83119200001</v>
      </c>
      <c r="K22" s="672">
        <f t="shared" si="8"/>
        <v>291513.16303200001</v>
      </c>
      <c r="L22" s="673">
        <f t="shared" si="9"/>
        <v>306878.68524000002</v>
      </c>
      <c r="M22" s="672">
        <f t="shared" si="10"/>
        <v>295560.67058400001</v>
      </c>
      <c r="N22" s="672">
        <f t="shared" si="11"/>
        <v>217555.08048</v>
      </c>
      <c r="O22" s="675">
        <f t="shared" si="12"/>
        <v>3451944.6</v>
      </c>
    </row>
    <row r="23" spans="1:17" x14ac:dyDescent="0.2">
      <c r="A23" s="645" t="s">
        <v>162</v>
      </c>
      <c r="B23" s="657">
        <v>3.9199999999999999E-2</v>
      </c>
      <c r="C23" s="672">
        <f t="shared" si="0"/>
        <v>116542.773256</v>
      </c>
      <c r="D23" s="673">
        <f t="shared" si="1"/>
        <v>117262.89999199999</v>
      </c>
      <c r="E23" s="672">
        <f t="shared" si="2"/>
        <v>133235.59149599998</v>
      </c>
      <c r="F23" s="673">
        <f t="shared" si="3"/>
        <v>127832.68999199999</v>
      </c>
      <c r="G23" s="672">
        <f t="shared" si="4"/>
        <v>136436.015128</v>
      </c>
      <c r="H23" s="672">
        <f t="shared" si="5"/>
        <v>131079.94899999999</v>
      </c>
      <c r="I23" s="672">
        <f t="shared" si="6"/>
        <v>135889.191984</v>
      </c>
      <c r="J23" s="673">
        <f t="shared" si="7"/>
        <v>134886.77232799999</v>
      </c>
      <c r="K23" s="672">
        <f t="shared" si="8"/>
        <v>128685.990888</v>
      </c>
      <c r="L23" s="673">
        <f t="shared" si="9"/>
        <v>135468.96915999998</v>
      </c>
      <c r="M23" s="672">
        <f t="shared" si="10"/>
        <v>130472.728456</v>
      </c>
      <c r="N23" s="672">
        <f t="shared" si="11"/>
        <v>96037.828320000001</v>
      </c>
      <c r="O23" s="675">
        <f t="shared" si="12"/>
        <v>1523831.4</v>
      </c>
    </row>
    <row r="24" spans="1:17" x14ac:dyDescent="0.2">
      <c r="A24" s="645" t="s">
        <v>163</v>
      </c>
      <c r="B24" s="888">
        <v>0.35420000000000001</v>
      </c>
      <c r="C24" s="672">
        <f t="shared" si="0"/>
        <v>1053047.2012060001</v>
      </c>
      <c r="D24" s="673">
        <f t="shared" si="1"/>
        <v>1059554.0606420001</v>
      </c>
      <c r="E24" s="672">
        <f t="shared" si="2"/>
        <v>1203878.7374460001</v>
      </c>
      <c r="F24" s="673">
        <f t="shared" si="3"/>
        <v>1155059.6631419999</v>
      </c>
      <c r="G24" s="672">
        <f t="shared" si="4"/>
        <v>1232796.8509780001</v>
      </c>
      <c r="H24" s="672">
        <f t="shared" si="5"/>
        <v>1184400.9677500001</v>
      </c>
      <c r="I24" s="672">
        <f t="shared" si="6"/>
        <v>1227855.913284</v>
      </c>
      <c r="J24" s="673">
        <f t="shared" si="7"/>
        <v>1218798.335678</v>
      </c>
      <c r="K24" s="672">
        <f t="shared" si="8"/>
        <v>1162769.8462380001</v>
      </c>
      <c r="L24" s="673">
        <f t="shared" si="9"/>
        <v>1224058.8999099999</v>
      </c>
      <c r="M24" s="672">
        <f t="shared" si="10"/>
        <v>1178914.2964060002</v>
      </c>
      <c r="N24" s="672">
        <f t="shared" si="11"/>
        <v>867770.37732000009</v>
      </c>
      <c r="O24" s="675">
        <f t="shared" si="12"/>
        <v>13768905.15</v>
      </c>
      <c r="Q24" s="649"/>
    </row>
    <row r="25" spans="1:17" x14ac:dyDescent="0.2">
      <c r="A25" s="645" t="s">
        <v>164</v>
      </c>
      <c r="B25" s="888">
        <v>0.03</v>
      </c>
      <c r="C25" s="672">
        <f t="shared" si="0"/>
        <v>89190.897899999996</v>
      </c>
      <c r="D25" s="673">
        <f t="shared" si="1"/>
        <v>89742.015299999985</v>
      </c>
      <c r="E25" s="672">
        <f t="shared" si="2"/>
        <v>101966.01389999999</v>
      </c>
      <c r="F25" s="673">
        <f t="shared" si="3"/>
        <v>97831.140299999985</v>
      </c>
      <c r="G25" s="672">
        <f t="shared" si="4"/>
        <v>104415.31769999999</v>
      </c>
      <c r="H25" s="672">
        <f t="shared" si="5"/>
        <v>100316.28749999999</v>
      </c>
      <c r="I25" s="672">
        <f t="shared" si="6"/>
        <v>103996.8306</v>
      </c>
      <c r="J25" s="673">
        <f t="shared" si="7"/>
        <v>103229.6727</v>
      </c>
      <c r="K25" s="672">
        <f t="shared" si="8"/>
        <v>98484.176699999996</v>
      </c>
      <c r="L25" s="673">
        <f t="shared" si="9"/>
        <v>103675.23149999999</v>
      </c>
      <c r="M25" s="672">
        <f t="shared" si="10"/>
        <v>99851.577900000004</v>
      </c>
      <c r="N25" s="672">
        <f t="shared" si="11"/>
        <v>73498.338000000003</v>
      </c>
      <c r="O25" s="675">
        <f t="shared" si="12"/>
        <v>1166197.4999999998</v>
      </c>
      <c r="Q25" s="649"/>
    </row>
    <row r="26" spans="1:17" ht="13.5" thickBot="1" x14ac:dyDescent="0.25">
      <c r="A26" s="645" t="s">
        <v>165</v>
      </c>
      <c r="B26" s="658">
        <v>4.5199999999999997E-2</v>
      </c>
      <c r="C26" s="672">
        <f t="shared" si="0"/>
        <v>134380.95283600001</v>
      </c>
      <c r="D26" s="673">
        <f t="shared" si="1"/>
        <v>135211.30305199997</v>
      </c>
      <c r="E26" s="672">
        <f t="shared" si="2"/>
        <v>153628.79427599997</v>
      </c>
      <c r="F26" s="673">
        <f t="shared" si="3"/>
        <v>147398.91805199999</v>
      </c>
      <c r="G26" s="672">
        <f t="shared" si="4"/>
        <v>157319.07866799997</v>
      </c>
      <c r="H26" s="672">
        <f t="shared" si="5"/>
        <v>151143.2065</v>
      </c>
      <c r="I26" s="678">
        <f t="shared" si="6"/>
        <v>156688.558104</v>
      </c>
      <c r="J26" s="673">
        <f t="shared" si="7"/>
        <v>155532.70686799998</v>
      </c>
      <c r="K26" s="672">
        <f t="shared" si="8"/>
        <v>148382.82622799999</v>
      </c>
      <c r="L26" s="673">
        <f t="shared" si="9"/>
        <v>156204.01546</v>
      </c>
      <c r="M26" s="672">
        <f t="shared" si="10"/>
        <v>150443.04403600001</v>
      </c>
      <c r="N26" s="672">
        <f t="shared" si="11"/>
        <v>110737.49592</v>
      </c>
      <c r="O26" s="675">
        <f t="shared" si="12"/>
        <v>1757070.9</v>
      </c>
    </row>
    <row r="27" spans="1:17" ht="13.5" thickBot="1" x14ac:dyDescent="0.25">
      <c r="A27" s="650" t="s">
        <v>288</v>
      </c>
      <c r="B27" s="651">
        <f t="shared" ref="B27:O27" si="13">SUM(B7:B26)</f>
        <v>1</v>
      </c>
      <c r="C27" s="680">
        <f>'X22.55 POE'!B50</f>
        <v>2973029.93</v>
      </c>
      <c r="D27" s="680">
        <f>'X22.55 POE'!C50</f>
        <v>2991400.51</v>
      </c>
      <c r="E27" s="680">
        <f>'X22.55 POE'!D50</f>
        <v>3398867.13</v>
      </c>
      <c r="F27" s="680">
        <f>'X22.55 POE'!E50</f>
        <v>3261038.01</v>
      </c>
      <c r="G27" s="680">
        <f>'X22.55 POE'!F50</f>
        <v>3480510.59</v>
      </c>
      <c r="H27" s="680">
        <f>'X22.55 POE'!G50</f>
        <v>3343876.25</v>
      </c>
      <c r="I27" s="680">
        <f>'X22.55 POE'!H50</f>
        <v>3466561.02</v>
      </c>
      <c r="J27" s="680">
        <f>'X22.55 POE'!I50</f>
        <v>3440989.09</v>
      </c>
      <c r="K27" s="680">
        <f>'X22.55 POE'!J50</f>
        <v>3282805.89</v>
      </c>
      <c r="L27" s="680">
        <f>'X22.55 POE'!K50</f>
        <v>3455841.05</v>
      </c>
      <c r="M27" s="680">
        <f>'X22.55 POE'!L50</f>
        <v>3328385.93</v>
      </c>
      <c r="N27" s="680">
        <f>'X22.55 POE'!M50</f>
        <v>2449944.6</v>
      </c>
      <c r="O27" s="680">
        <f t="shared" si="13"/>
        <v>38873250</v>
      </c>
    </row>
    <row r="28" spans="1:17" x14ac:dyDescent="0.2">
      <c r="A28" s="653"/>
      <c r="B28" s="653"/>
      <c r="C28" s="653"/>
      <c r="D28" s="653"/>
      <c r="E28" s="653"/>
      <c r="F28" s="653"/>
      <c r="G28" s="653"/>
      <c r="H28" s="653"/>
      <c r="I28" s="653"/>
      <c r="J28" s="653"/>
      <c r="K28" s="653"/>
      <c r="L28" s="653"/>
      <c r="M28" s="653"/>
      <c r="N28" s="653"/>
      <c r="O28" s="653"/>
    </row>
    <row r="29" spans="1:17" x14ac:dyDescent="0.2">
      <c r="A29" s="654"/>
    </row>
    <row r="30" spans="1:17" x14ac:dyDescent="0.2">
      <c r="A30" s="640" t="s">
        <v>358</v>
      </c>
      <c r="C30" s="649">
        <f>'X22.55 POE'!B52</f>
        <v>4114313.5662639062</v>
      </c>
      <c r="D30" s="649">
        <f>'X22.55 POE'!C52</f>
        <v>4642277.8683509529</v>
      </c>
      <c r="E30" s="649">
        <f>'X22.55 POE'!D52</f>
        <v>4410044.5674329326</v>
      </c>
      <c r="F30" s="649">
        <f>'X22.55 POE'!E52</f>
        <v>4900528.8193718204</v>
      </c>
      <c r="G30" s="649">
        <f>'X22.55 POE'!F52</f>
        <v>4839820.44413184</v>
      </c>
      <c r="H30" s="649">
        <f>'X22.55 POE'!G52</f>
        <v>5002480.1447748346</v>
      </c>
      <c r="I30" s="649">
        <f>'X22.55 POE'!H52</f>
        <v>4763694.3938309131</v>
      </c>
      <c r="J30" s="649">
        <f>'X22.55 POE'!I52</f>
        <v>4972414.9696559859</v>
      </c>
      <c r="K30" s="649">
        <f>'X22.55 POE'!J52</f>
        <v>4935026.4945081901</v>
      </c>
      <c r="L30" s="649">
        <f>'X22.55 POE'!K52</f>
        <v>4691808.0185467461</v>
      </c>
      <c r="M30" s="649">
        <f>'X22.55 POE'!L52</f>
        <v>4909779.4694083873</v>
      </c>
      <c r="N30" s="649">
        <f>'X22.55 POE'!M52</f>
        <v>4736520.2437234931</v>
      </c>
      <c r="O30" s="649">
        <f>SUM(C30:N30)</f>
        <v>56918709</v>
      </c>
    </row>
    <row r="31" spans="1:17" x14ac:dyDescent="0.2">
      <c r="A31" s="640" t="s">
        <v>350</v>
      </c>
      <c r="C31" s="649">
        <f>C30-C27</f>
        <v>1141283.636263906</v>
      </c>
      <c r="D31" s="649">
        <f t="shared" ref="D31:O31" si="14">D30-D27</f>
        <v>1650877.3583509531</v>
      </c>
      <c r="E31" s="649">
        <f t="shared" si="14"/>
        <v>1011177.4374329327</v>
      </c>
      <c r="F31" s="649">
        <f t="shared" si="14"/>
        <v>1639490.8093718207</v>
      </c>
      <c r="G31" s="649">
        <f t="shared" si="14"/>
        <v>1359309.8541318402</v>
      </c>
      <c r="H31" s="649">
        <f t="shared" si="14"/>
        <v>1658603.8947748346</v>
      </c>
      <c r="I31" s="649">
        <f t="shared" si="14"/>
        <v>1297133.3738309131</v>
      </c>
      <c r="J31" s="649">
        <f t="shared" si="14"/>
        <v>1531425.8796559861</v>
      </c>
      <c r="K31" s="649">
        <f t="shared" si="14"/>
        <v>1652220.60450819</v>
      </c>
      <c r="L31" s="649">
        <f t="shared" si="14"/>
        <v>1235966.9685467463</v>
      </c>
      <c r="M31" s="649">
        <f t="shared" si="14"/>
        <v>1581393.5394083872</v>
      </c>
      <c r="N31" s="649">
        <f t="shared" si="14"/>
        <v>2286575.643723493</v>
      </c>
      <c r="O31" s="649">
        <f t="shared" si="14"/>
        <v>18045459</v>
      </c>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0"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7" tint="0.39997558519241921"/>
  </sheetPr>
  <dimension ref="A1:O38"/>
  <sheetViews>
    <sheetView workbookViewId="0">
      <selection activeCell="C27" sqref="C27"/>
    </sheetView>
  </sheetViews>
  <sheetFormatPr baseColWidth="10" defaultRowHeight="12.75" x14ac:dyDescent="0.2"/>
  <cols>
    <col min="1" max="1" width="16.85546875" style="640" customWidth="1"/>
    <col min="2" max="2" width="9.28515625" style="640" bestFit="1" customWidth="1"/>
    <col min="3" max="5" width="11.7109375" style="640" bestFit="1" customWidth="1"/>
    <col min="6" max="6" width="10.140625" style="640" bestFit="1" customWidth="1"/>
    <col min="7" max="8" width="11.7109375" style="640" bestFit="1" customWidth="1"/>
    <col min="9" max="10" width="11.85546875" style="640" bestFit="1" customWidth="1"/>
    <col min="11" max="11" width="10.140625" style="640" bestFit="1" customWidth="1"/>
    <col min="12" max="14" width="11.85546875" style="640" bestFit="1" customWidth="1"/>
    <col min="15" max="15" width="13.140625" style="640" bestFit="1" customWidth="1"/>
    <col min="16" max="16384" width="11.42578125" style="640"/>
  </cols>
  <sheetData>
    <row r="1" spans="1:15" ht="15.75" x14ac:dyDescent="0.25">
      <c r="A1" s="1235" t="s">
        <v>277</v>
      </c>
      <c r="B1" s="1235"/>
      <c r="C1" s="1235"/>
      <c r="D1" s="1235"/>
      <c r="E1" s="1235"/>
      <c r="F1" s="1235"/>
      <c r="G1" s="1235"/>
      <c r="H1" s="1235"/>
      <c r="I1" s="1235"/>
      <c r="J1" s="1235"/>
      <c r="K1" s="1235"/>
      <c r="L1" s="1235"/>
      <c r="M1" s="1235"/>
      <c r="N1" s="1235"/>
      <c r="O1" s="1235"/>
    </row>
    <row r="2" spans="1:15" x14ac:dyDescent="0.2">
      <c r="A2" s="1236" t="s">
        <v>278</v>
      </c>
      <c r="B2" s="1236"/>
      <c r="C2" s="1236"/>
      <c r="D2" s="1236"/>
      <c r="E2" s="1236"/>
      <c r="F2" s="1236"/>
      <c r="G2" s="1236"/>
      <c r="H2" s="1236"/>
      <c r="I2" s="1236"/>
      <c r="J2" s="1236"/>
      <c r="K2" s="1236"/>
      <c r="L2" s="1236"/>
      <c r="M2" s="1236"/>
      <c r="N2" s="1236"/>
      <c r="O2" s="1236"/>
    </row>
    <row r="3" spans="1:15" x14ac:dyDescent="0.2">
      <c r="A3" s="1236" t="s">
        <v>279</v>
      </c>
      <c r="B3" s="1236"/>
      <c r="C3" s="1236"/>
      <c r="D3" s="1236"/>
      <c r="E3" s="1236"/>
      <c r="F3" s="1236"/>
      <c r="G3" s="1236"/>
      <c r="H3" s="1236"/>
      <c r="I3" s="1236"/>
      <c r="J3" s="1236"/>
      <c r="K3" s="1236"/>
      <c r="L3" s="1236"/>
      <c r="M3" s="1236"/>
      <c r="N3" s="1236"/>
      <c r="O3" s="1236"/>
    </row>
    <row r="4" spans="1:15" x14ac:dyDescent="0.2">
      <c r="A4" s="1237" t="s">
        <v>484</v>
      </c>
      <c r="B4" s="1237"/>
      <c r="C4" s="1237"/>
      <c r="D4" s="1237"/>
      <c r="E4" s="1237"/>
      <c r="F4" s="1237"/>
      <c r="G4" s="1237"/>
      <c r="H4" s="1237"/>
      <c r="I4" s="1237"/>
      <c r="J4" s="1237"/>
      <c r="K4" s="1237"/>
      <c r="L4" s="1237"/>
      <c r="M4" s="1237"/>
      <c r="N4" s="1237"/>
      <c r="O4" s="1237"/>
    </row>
    <row r="5" spans="1:15" ht="13.5" thickBot="1" x14ac:dyDescent="0.25">
      <c r="A5" s="887"/>
      <c r="B5" s="887"/>
      <c r="C5" s="887"/>
      <c r="D5" s="887"/>
      <c r="E5" s="887"/>
      <c r="F5" s="887"/>
      <c r="G5" s="887"/>
      <c r="H5" s="887"/>
      <c r="I5" s="887"/>
      <c r="J5" s="887"/>
      <c r="K5" s="887"/>
      <c r="L5" s="887"/>
      <c r="M5" s="887"/>
      <c r="N5" s="887"/>
      <c r="O5" s="887"/>
    </row>
    <row r="6" spans="1:15" ht="34.5" thickBot="1" x14ac:dyDescent="0.25">
      <c r="A6" s="641" t="s">
        <v>346</v>
      </c>
      <c r="B6" s="642" t="s">
        <v>353</v>
      </c>
      <c r="C6" s="641" t="s">
        <v>1</v>
      </c>
      <c r="D6" s="643" t="s">
        <v>2</v>
      </c>
      <c r="E6" s="641" t="s">
        <v>3</v>
      </c>
      <c r="F6" s="643" t="s">
        <v>4</v>
      </c>
      <c r="G6" s="641" t="s">
        <v>5</v>
      </c>
      <c r="H6" s="641" t="s">
        <v>6</v>
      </c>
      <c r="I6" s="641" t="s">
        <v>7</v>
      </c>
      <c r="J6" s="643" t="s">
        <v>8</v>
      </c>
      <c r="K6" s="641" t="s">
        <v>9</v>
      </c>
      <c r="L6" s="643" t="s">
        <v>10</v>
      </c>
      <c r="M6" s="641" t="s">
        <v>11</v>
      </c>
      <c r="N6" s="641" t="s">
        <v>12</v>
      </c>
      <c r="O6" s="644" t="s">
        <v>168</v>
      </c>
    </row>
    <row r="7" spans="1:15" x14ac:dyDescent="0.2">
      <c r="A7" s="645" t="s">
        <v>282</v>
      </c>
      <c r="B7" s="884">
        <v>5</v>
      </c>
      <c r="C7" s="672">
        <f>$C$27*B7/100</f>
        <v>31702.605325043016</v>
      </c>
      <c r="D7" s="673">
        <f>$D$27*B7/100</f>
        <v>115871.90023525461</v>
      </c>
      <c r="E7" s="672">
        <f>$E$27*B7/100</f>
        <v>25385.907826688475</v>
      </c>
      <c r="F7" s="673">
        <f>$F$27*B7/100</f>
        <v>7669.0714131396962</v>
      </c>
      <c r="G7" s="672">
        <f>$G$27*B7/100</f>
        <v>23881.486827120501</v>
      </c>
      <c r="H7" s="672">
        <f>$H$27*B7/100</f>
        <v>26224.665086935063</v>
      </c>
      <c r="I7" s="674">
        <f>$I$27*B7/100</f>
        <v>30295.470192187597</v>
      </c>
      <c r="J7" s="673">
        <f>$J$27*B7/100</f>
        <v>35800.688452461822</v>
      </c>
      <c r="K7" s="672">
        <f>$K$27*B7/100</f>
        <v>42421.681547022461</v>
      </c>
      <c r="L7" s="673">
        <f>$L$27*B7/100</f>
        <v>33055.372956518448</v>
      </c>
      <c r="M7" s="672">
        <f>$M$27*B7/100</f>
        <v>27337.428648658468</v>
      </c>
      <c r="N7" s="672">
        <f>$N$27*B7/100</f>
        <v>28369.488988969606</v>
      </c>
      <c r="O7" s="675">
        <f>SUM(C7:N7)</f>
        <v>428015.76749999978</v>
      </c>
    </row>
    <row r="8" spans="1:15" x14ac:dyDescent="0.2">
      <c r="A8" s="645" t="s">
        <v>147</v>
      </c>
      <c r="B8" s="885">
        <v>5</v>
      </c>
      <c r="C8" s="672">
        <f t="shared" ref="C8:C26" si="0">$C$27*B8/100</f>
        <v>31702.605325043016</v>
      </c>
      <c r="D8" s="673">
        <f t="shared" ref="D8:D26" si="1">$D$27*B8/100</f>
        <v>115871.90023525461</v>
      </c>
      <c r="E8" s="672">
        <f t="shared" ref="E8:E26" si="2">$E$27*B8/100</f>
        <v>25385.907826688475</v>
      </c>
      <c r="F8" s="673">
        <f t="shared" ref="F8:F26" si="3">$F$27*B8/100</f>
        <v>7669.0714131396962</v>
      </c>
      <c r="G8" s="672">
        <f t="shared" ref="G8:G26" si="4">$G$27*B8/100</f>
        <v>23881.486827120501</v>
      </c>
      <c r="H8" s="672">
        <f t="shared" ref="H8:H26" si="5">$H$27*B8/100</f>
        <v>26224.665086935063</v>
      </c>
      <c r="I8" s="672">
        <f t="shared" ref="I8:I26" si="6">$I$27*B8/100</f>
        <v>30295.470192187597</v>
      </c>
      <c r="J8" s="673">
        <f t="shared" ref="J8:J26" si="7">$J$27*B8/100</f>
        <v>35800.688452461822</v>
      </c>
      <c r="K8" s="672">
        <f t="shared" ref="K8:K26" si="8">$K$27*B8/100</f>
        <v>42421.681547022461</v>
      </c>
      <c r="L8" s="673">
        <f t="shared" ref="L8:L26" si="9">$L$27*B8/100</f>
        <v>33055.372956518448</v>
      </c>
      <c r="M8" s="672">
        <f t="shared" ref="M8:M26" si="10">$M$27*B8/100</f>
        <v>27337.428648658468</v>
      </c>
      <c r="N8" s="672">
        <f t="shared" ref="N8:N26" si="11">$N$27*B8/100</f>
        <v>28369.488988969606</v>
      </c>
      <c r="O8" s="675">
        <f t="shared" ref="O8:O26" si="12">SUM(C8:N8)</f>
        <v>428015.76749999978</v>
      </c>
    </row>
    <row r="9" spans="1:15" x14ac:dyDescent="0.2">
      <c r="A9" s="645" t="s">
        <v>148</v>
      </c>
      <c r="B9" s="885">
        <v>5</v>
      </c>
      <c r="C9" s="672">
        <f t="shared" si="0"/>
        <v>31702.605325043016</v>
      </c>
      <c r="D9" s="673">
        <f t="shared" si="1"/>
        <v>115871.90023525461</v>
      </c>
      <c r="E9" s="672">
        <f t="shared" si="2"/>
        <v>25385.907826688475</v>
      </c>
      <c r="F9" s="673">
        <f t="shared" si="3"/>
        <v>7669.0714131396962</v>
      </c>
      <c r="G9" s="672">
        <f t="shared" si="4"/>
        <v>23881.486827120501</v>
      </c>
      <c r="H9" s="672">
        <f t="shared" si="5"/>
        <v>26224.665086935063</v>
      </c>
      <c r="I9" s="672">
        <f t="shared" si="6"/>
        <v>30295.470192187597</v>
      </c>
      <c r="J9" s="673">
        <f t="shared" si="7"/>
        <v>35800.688452461822</v>
      </c>
      <c r="K9" s="672">
        <f t="shared" si="8"/>
        <v>42421.681547022461</v>
      </c>
      <c r="L9" s="673">
        <f t="shared" si="9"/>
        <v>33055.372956518448</v>
      </c>
      <c r="M9" s="672">
        <f t="shared" si="10"/>
        <v>27337.428648658468</v>
      </c>
      <c r="N9" s="672">
        <f t="shared" si="11"/>
        <v>28369.488988969606</v>
      </c>
      <c r="O9" s="675">
        <f t="shared" si="12"/>
        <v>428015.76749999978</v>
      </c>
    </row>
    <row r="10" spans="1:15" x14ac:dyDescent="0.2">
      <c r="A10" s="645" t="s">
        <v>283</v>
      </c>
      <c r="B10" s="885">
        <v>5</v>
      </c>
      <c r="C10" s="672">
        <f t="shared" si="0"/>
        <v>31702.605325043016</v>
      </c>
      <c r="D10" s="673">
        <f t="shared" si="1"/>
        <v>115871.90023525461</v>
      </c>
      <c r="E10" s="672">
        <f t="shared" si="2"/>
        <v>25385.907826688475</v>
      </c>
      <c r="F10" s="673">
        <f t="shared" si="3"/>
        <v>7669.0714131396962</v>
      </c>
      <c r="G10" s="672">
        <f t="shared" si="4"/>
        <v>23881.486827120501</v>
      </c>
      <c r="H10" s="672">
        <f t="shared" si="5"/>
        <v>26224.665086935063</v>
      </c>
      <c r="I10" s="672">
        <f t="shared" si="6"/>
        <v>30295.470192187597</v>
      </c>
      <c r="J10" s="673">
        <f t="shared" si="7"/>
        <v>35800.688452461822</v>
      </c>
      <c r="K10" s="672">
        <f t="shared" si="8"/>
        <v>42421.681547022461</v>
      </c>
      <c r="L10" s="673">
        <f t="shared" si="9"/>
        <v>33055.372956518448</v>
      </c>
      <c r="M10" s="672">
        <f t="shared" si="10"/>
        <v>27337.428648658468</v>
      </c>
      <c r="N10" s="672">
        <f t="shared" si="11"/>
        <v>28369.488988969606</v>
      </c>
      <c r="O10" s="675">
        <f t="shared" si="12"/>
        <v>428015.76749999978</v>
      </c>
    </row>
    <row r="11" spans="1:15" x14ac:dyDescent="0.2">
      <c r="A11" s="645" t="s">
        <v>150</v>
      </c>
      <c r="B11" s="885">
        <v>5</v>
      </c>
      <c r="C11" s="672">
        <f t="shared" si="0"/>
        <v>31702.605325043016</v>
      </c>
      <c r="D11" s="673">
        <f t="shared" si="1"/>
        <v>115871.90023525461</v>
      </c>
      <c r="E11" s="672">
        <f t="shared" si="2"/>
        <v>25385.907826688475</v>
      </c>
      <c r="F11" s="673">
        <f t="shared" si="3"/>
        <v>7669.0714131396962</v>
      </c>
      <c r="G11" s="672">
        <f t="shared" si="4"/>
        <v>23881.486827120501</v>
      </c>
      <c r="H11" s="672">
        <f t="shared" si="5"/>
        <v>26224.665086935063</v>
      </c>
      <c r="I11" s="672">
        <f t="shared" si="6"/>
        <v>30295.470192187597</v>
      </c>
      <c r="J11" s="673">
        <f t="shared" si="7"/>
        <v>35800.688452461822</v>
      </c>
      <c r="K11" s="672">
        <f t="shared" si="8"/>
        <v>42421.681547022461</v>
      </c>
      <c r="L11" s="673">
        <f t="shared" si="9"/>
        <v>33055.372956518448</v>
      </c>
      <c r="M11" s="672">
        <f t="shared" si="10"/>
        <v>27337.428648658468</v>
      </c>
      <c r="N11" s="672">
        <f t="shared" si="11"/>
        <v>28369.488988969606</v>
      </c>
      <c r="O11" s="675">
        <f t="shared" si="12"/>
        <v>428015.76749999978</v>
      </c>
    </row>
    <row r="12" spans="1:15" x14ac:dyDescent="0.2">
      <c r="A12" s="645" t="s">
        <v>284</v>
      </c>
      <c r="B12" s="885">
        <v>5</v>
      </c>
      <c r="C12" s="672">
        <f t="shared" si="0"/>
        <v>31702.605325043016</v>
      </c>
      <c r="D12" s="673">
        <f t="shared" si="1"/>
        <v>115871.90023525461</v>
      </c>
      <c r="E12" s="672">
        <f t="shared" si="2"/>
        <v>25385.907826688475</v>
      </c>
      <c r="F12" s="673">
        <f t="shared" si="3"/>
        <v>7669.0714131396962</v>
      </c>
      <c r="G12" s="672">
        <f t="shared" si="4"/>
        <v>23881.486827120501</v>
      </c>
      <c r="H12" s="672">
        <f t="shared" si="5"/>
        <v>26224.665086935063</v>
      </c>
      <c r="I12" s="672">
        <f t="shared" si="6"/>
        <v>30295.470192187597</v>
      </c>
      <c r="J12" s="673">
        <f t="shared" si="7"/>
        <v>35800.688452461822</v>
      </c>
      <c r="K12" s="672">
        <f t="shared" si="8"/>
        <v>42421.681547022461</v>
      </c>
      <c r="L12" s="673">
        <f t="shared" si="9"/>
        <v>33055.372956518448</v>
      </c>
      <c r="M12" s="672">
        <f t="shared" si="10"/>
        <v>27337.428648658468</v>
      </c>
      <c r="N12" s="672">
        <f t="shared" si="11"/>
        <v>28369.488988969606</v>
      </c>
      <c r="O12" s="675">
        <f t="shared" si="12"/>
        <v>428015.76749999978</v>
      </c>
    </row>
    <row r="13" spans="1:15" x14ac:dyDescent="0.2">
      <c r="A13" s="645" t="s">
        <v>152</v>
      </c>
      <c r="B13" s="885">
        <v>5</v>
      </c>
      <c r="C13" s="672">
        <f t="shared" si="0"/>
        <v>31702.605325043016</v>
      </c>
      <c r="D13" s="673">
        <f t="shared" si="1"/>
        <v>115871.90023525461</v>
      </c>
      <c r="E13" s="672">
        <f t="shared" si="2"/>
        <v>25385.907826688475</v>
      </c>
      <c r="F13" s="673">
        <f t="shared" si="3"/>
        <v>7669.0714131396962</v>
      </c>
      <c r="G13" s="672">
        <f t="shared" si="4"/>
        <v>23881.486827120501</v>
      </c>
      <c r="H13" s="672">
        <f t="shared" si="5"/>
        <v>26224.665086935063</v>
      </c>
      <c r="I13" s="672">
        <f t="shared" si="6"/>
        <v>30295.470192187597</v>
      </c>
      <c r="J13" s="673">
        <f t="shared" si="7"/>
        <v>35800.688452461822</v>
      </c>
      <c r="K13" s="672">
        <f t="shared" si="8"/>
        <v>42421.681547022461</v>
      </c>
      <c r="L13" s="673">
        <f t="shared" si="9"/>
        <v>33055.372956518448</v>
      </c>
      <c r="M13" s="672">
        <f t="shared" si="10"/>
        <v>27337.428648658468</v>
      </c>
      <c r="N13" s="672">
        <f t="shared" si="11"/>
        <v>28369.488988969606</v>
      </c>
      <c r="O13" s="675">
        <f t="shared" si="12"/>
        <v>428015.76749999978</v>
      </c>
    </row>
    <row r="14" spans="1:15" x14ac:dyDescent="0.2">
      <c r="A14" s="645" t="s">
        <v>153</v>
      </c>
      <c r="B14" s="885">
        <v>5</v>
      </c>
      <c r="C14" s="672">
        <f t="shared" si="0"/>
        <v>31702.605325043016</v>
      </c>
      <c r="D14" s="673">
        <f t="shared" si="1"/>
        <v>115871.90023525461</v>
      </c>
      <c r="E14" s="672">
        <f t="shared" si="2"/>
        <v>25385.907826688475</v>
      </c>
      <c r="F14" s="673">
        <f t="shared" si="3"/>
        <v>7669.0714131396962</v>
      </c>
      <c r="G14" s="672">
        <f t="shared" si="4"/>
        <v>23881.486827120501</v>
      </c>
      <c r="H14" s="672">
        <f t="shared" si="5"/>
        <v>26224.665086935063</v>
      </c>
      <c r="I14" s="672">
        <f t="shared" si="6"/>
        <v>30295.470192187597</v>
      </c>
      <c r="J14" s="673">
        <f t="shared" si="7"/>
        <v>35800.688452461822</v>
      </c>
      <c r="K14" s="672">
        <f t="shared" si="8"/>
        <v>42421.681547022461</v>
      </c>
      <c r="L14" s="673">
        <f t="shared" si="9"/>
        <v>33055.372956518448</v>
      </c>
      <c r="M14" s="672">
        <f t="shared" si="10"/>
        <v>27337.428648658468</v>
      </c>
      <c r="N14" s="672">
        <f t="shared" si="11"/>
        <v>28369.488988969606</v>
      </c>
      <c r="O14" s="675">
        <f t="shared" si="12"/>
        <v>428015.76749999978</v>
      </c>
    </row>
    <row r="15" spans="1:15" x14ac:dyDescent="0.2">
      <c r="A15" s="645" t="s">
        <v>154</v>
      </c>
      <c r="B15" s="885">
        <v>5</v>
      </c>
      <c r="C15" s="672">
        <f t="shared" si="0"/>
        <v>31702.605325043016</v>
      </c>
      <c r="D15" s="673">
        <f t="shared" si="1"/>
        <v>115871.90023525461</v>
      </c>
      <c r="E15" s="672">
        <f t="shared" si="2"/>
        <v>25385.907826688475</v>
      </c>
      <c r="F15" s="673">
        <f t="shared" si="3"/>
        <v>7669.0714131396962</v>
      </c>
      <c r="G15" s="672">
        <f t="shared" si="4"/>
        <v>23881.486827120501</v>
      </c>
      <c r="H15" s="672">
        <f t="shared" si="5"/>
        <v>26224.665086935063</v>
      </c>
      <c r="I15" s="672">
        <f t="shared" si="6"/>
        <v>30295.470192187597</v>
      </c>
      <c r="J15" s="673">
        <f t="shared" si="7"/>
        <v>35800.688452461822</v>
      </c>
      <c r="K15" s="672">
        <f t="shared" si="8"/>
        <v>42421.681547022461</v>
      </c>
      <c r="L15" s="673">
        <f t="shared" si="9"/>
        <v>33055.372956518448</v>
      </c>
      <c r="M15" s="672">
        <f t="shared" si="10"/>
        <v>27337.428648658468</v>
      </c>
      <c r="N15" s="672">
        <f t="shared" si="11"/>
        <v>28369.488988969606</v>
      </c>
      <c r="O15" s="675">
        <f t="shared" si="12"/>
        <v>428015.76749999978</v>
      </c>
    </row>
    <row r="16" spans="1:15" x14ac:dyDescent="0.2">
      <c r="A16" s="645" t="s">
        <v>155</v>
      </c>
      <c r="B16" s="885">
        <v>5</v>
      </c>
      <c r="C16" s="672">
        <f t="shared" si="0"/>
        <v>31702.605325043016</v>
      </c>
      <c r="D16" s="673">
        <f t="shared" si="1"/>
        <v>115871.90023525461</v>
      </c>
      <c r="E16" s="672">
        <f t="shared" si="2"/>
        <v>25385.907826688475</v>
      </c>
      <c r="F16" s="673">
        <f t="shared" si="3"/>
        <v>7669.0714131396962</v>
      </c>
      <c r="G16" s="672">
        <f t="shared" si="4"/>
        <v>23881.486827120501</v>
      </c>
      <c r="H16" s="672">
        <f t="shared" si="5"/>
        <v>26224.665086935063</v>
      </c>
      <c r="I16" s="672">
        <f t="shared" si="6"/>
        <v>30295.470192187597</v>
      </c>
      <c r="J16" s="673">
        <f t="shared" si="7"/>
        <v>35800.688452461822</v>
      </c>
      <c r="K16" s="672">
        <f t="shared" si="8"/>
        <v>42421.681547022461</v>
      </c>
      <c r="L16" s="673">
        <f t="shared" si="9"/>
        <v>33055.372956518448</v>
      </c>
      <c r="M16" s="672">
        <f t="shared" si="10"/>
        <v>27337.428648658468</v>
      </c>
      <c r="N16" s="672">
        <f t="shared" si="11"/>
        <v>28369.488988969606</v>
      </c>
      <c r="O16" s="675">
        <f t="shared" si="12"/>
        <v>428015.76749999978</v>
      </c>
    </row>
    <row r="17" spans="1:15" x14ac:dyDescent="0.2">
      <c r="A17" s="645" t="s">
        <v>156</v>
      </c>
      <c r="B17" s="885">
        <v>5</v>
      </c>
      <c r="C17" s="672">
        <f t="shared" si="0"/>
        <v>31702.605325043016</v>
      </c>
      <c r="D17" s="673">
        <f t="shared" si="1"/>
        <v>115871.90023525461</v>
      </c>
      <c r="E17" s="672">
        <f t="shared" si="2"/>
        <v>25385.907826688475</v>
      </c>
      <c r="F17" s="673">
        <f t="shared" si="3"/>
        <v>7669.0714131396962</v>
      </c>
      <c r="G17" s="672">
        <f t="shared" si="4"/>
        <v>23881.486827120501</v>
      </c>
      <c r="H17" s="672">
        <f t="shared" si="5"/>
        <v>26224.665086935063</v>
      </c>
      <c r="I17" s="672">
        <f t="shared" si="6"/>
        <v>30295.470192187597</v>
      </c>
      <c r="J17" s="673">
        <f t="shared" si="7"/>
        <v>35800.688452461822</v>
      </c>
      <c r="K17" s="672">
        <f t="shared" si="8"/>
        <v>42421.681547022461</v>
      </c>
      <c r="L17" s="673">
        <f t="shared" si="9"/>
        <v>33055.372956518448</v>
      </c>
      <c r="M17" s="672">
        <f t="shared" si="10"/>
        <v>27337.428648658468</v>
      </c>
      <c r="N17" s="672">
        <f t="shared" si="11"/>
        <v>28369.488988969606</v>
      </c>
      <c r="O17" s="675">
        <f t="shared" si="12"/>
        <v>428015.76749999978</v>
      </c>
    </row>
    <row r="18" spans="1:15" x14ac:dyDescent="0.2">
      <c r="A18" s="645" t="s">
        <v>157</v>
      </c>
      <c r="B18" s="885">
        <v>5</v>
      </c>
      <c r="C18" s="672">
        <f t="shared" si="0"/>
        <v>31702.605325043016</v>
      </c>
      <c r="D18" s="673">
        <f t="shared" si="1"/>
        <v>115871.90023525461</v>
      </c>
      <c r="E18" s="672">
        <f t="shared" si="2"/>
        <v>25385.907826688475</v>
      </c>
      <c r="F18" s="673">
        <f t="shared" si="3"/>
        <v>7669.0714131396962</v>
      </c>
      <c r="G18" s="672">
        <f t="shared" si="4"/>
        <v>23881.486827120501</v>
      </c>
      <c r="H18" s="672">
        <f t="shared" si="5"/>
        <v>26224.665086935063</v>
      </c>
      <c r="I18" s="672">
        <f t="shared" si="6"/>
        <v>30295.470192187597</v>
      </c>
      <c r="J18" s="673">
        <f t="shared" si="7"/>
        <v>35800.688452461822</v>
      </c>
      <c r="K18" s="672">
        <f t="shared" si="8"/>
        <v>42421.681547022461</v>
      </c>
      <c r="L18" s="673">
        <f t="shared" si="9"/>
        <v>33055.372956518448</v>
      </c>
      <c r="M18" s="672">
        <f t="shared" si="10"/>
        <v>27337.428648658468</v>
      </c>
      <c r="N18" s="672">
        <f t="shared" si="11"/>
        <v>28369.488988969606</v>
      </c>
      <c r="O18" s="675">
        <f t="shared" si="12"/>
        <v>428015.76749999978</v>
      </c>
    </row>
    <row r="19" spans="1:15" x14ac:dyDescent="0.2">
      <c r="A19" s="645" t="s">
        <v>158</v>
      </c>
      <c r="B19" s="885">
        <v>5</v>
      </c>
      <c r="C19" s="672">
        <f t="shared" si="0"/>
        <v>31702.605325043016</v>
      </c>
      <c r="D19" s="673">
        <f t="shared" si="1"/>
        <v>115871.90023525461</v>
      </c>
      <c r="E19" s="672">
        <f t="shared" si="2"/>
        <v>25385.907826688475</v>
      </c>
      <c r="F19" s="673">
        <f t="shared" si="3"/>
        <v>7669.0714131396962</v>
      </c>
      <c r="G19" s="672">
        <f t="shared" si="4"/>
        <v>23881.486827120501</v>
      </c>
      <c r="H19" s="672">
        <f t="shared" si="5"/>
        <v>26224.665086935063</v>
      </c>
      <c r="I19" s="672">
        <f t="shared" si="6"/>
        <v>30295.470192187597</v>
      </c>
      <c r="J19" s="673">
        <f t="shared" si="7"/>
        <v>35800.688452461822</v>
      </c>
      <c r="K19" s="672">
        <f t="shared" si="8"/>
        <v>42421.681547022461</v>
      </c>
      <c r="L19" s="673">
        <f t="shared" si="9"/>
        <v>33055.372956518448</v>
      </c>
      <c r="M19" s="672">
        <f t="shared" si="10"/>
        <v>27337.428648658468</v>
      </c>
      <c r="N19" s="672">
        <f t="shared" si="11"/>
        <v>28369.488988969606</v>
      </c>
      <c r="O19" s="675">
        <f t="shared" si="12"/>
        <v>428015.76749999978</v>
      </c>
    </row>
    <row r="20" spans="1:15" x14ac:dyDescent="0.2">
      <c r="A20" s="645" t="s">
        <v>285</v>
      </c>
      <c r="B20" s="885">
        <v>5</v>
      </c>
      <c r="C20" s="672">
        <f t="shared" si="0"/>
        <v>31702.605325043016</v>
      </c>
      <c r="D20" s="673">
        <f t="shared" si="1"/>
        <v>115871.90023525461</v>
      </c>
      <c r="E20" s="672">
        <f t="shared" si="2"/>
        <v>25385.907826688475</v>
      </c>
      <c r="F20" s="673">
        <f t="shared" si="3"/>
        <v>7669.0714131396962</v>
      </c>
      <c r="G20" s="672">
        <f t="shared" si="4"/>
        <v>23881.486827120501</v>
      </c>
      <c r="H20" s="672">
        <f t="shared" si="5"/>
        <v>26224.665086935063</v>
      </c>
      <c r="I20" s="672">
        <f t="shared" si="6"/>
        <v>30295.470192187597</v>
      </c>
      <c r="J20" s="673">
        <f t="shared" si="7"/>
        <v>35800.688452461822</v>
      </c>
      <c r="K20" s="672">
        <f t="shared" si="8"/>
        <v>42421.681547022461</v>
      </c>
      <c r="L20" s="673">
        <f t="shared" si="9"/>
        <v>33055.372956518448</v>
      </c>
      <c r="M20" s="672">
        <f t="shared" si="10"/>
        <v>27337.428648658468</v>
      </c>
      <c r="N20" s="672">
        <f t="shared" si="11"/>
        <v>28369.488988969606</v>
      </c>
      <c r="O20" s="675">
        <f t="shared" si="12"/>
        <v>428015.76749999978</v>
      </c>
    </row>
    <row r="21" spans="1:15" x14ac:dyDescent="0.2">
      <c r="A21" s="645" t="s">
        <v>286</v>
      </c>
      <c r="B21" s="885">
        <v>5</v>
      </c>
      <c r="C21" s="672">
        <f t="shared" si="0"/>
        <v>31702.605325043016</v>
      </c>
      <c r="D21" s="673">
        <f t="shared" si="1"/>
        <v>115871.90023525461</v>
      </c>
      <c r="E21" s="672">
        <f t="shared" si="2"/>
        <v>25385.907826688475</v>
      </c>
      <c r="F21" s="673">
        <f t="shared" si="3"/>
        <v>7669.0714131396962</v>
      </c>
      <c r="G21" s="672">
        <f t="shared" si="4"/>
        <v>23881.486827120501</v>
      </c>
      <c r="H21" s="672">
        <f t="shared" si="5"/>
        <v>26224.665086935063</v>
      </c>
      <c r="I21" s="672">
        <f t="shared" si="6"/>
        <v>30295.470192187597</v>
      </c>
      <c r="J21" s="673">
        <f t="shared" si="7"/>
        <v>35800.688452461822</v>
      </c>
      <c r="K21" s="672">
        <f t="shared" si="8"/>
        <v>42421.681547022461</v>
      </c>
      <c r="L21" s="673">
        <f t="shared" si="9"/>
        <v>33055.372956518448</v>
      </c>
      <c r="M21" s="672">
        <f t="shared" si="10"/>
        <v>27337.428648658468</v>
      </c>
      <c r="N21" s="672">
        <f t="shared" si="11"/>
        <v>28369.488988969606</v>
      </c>
      <c r="O21" s="675">
        <f t="shared" si="12"/>
        <v>428015.76749999978</v>
      </c>
    </row>
    <row r="22" spans="1:15" x14ac:dyDescent="0.2">
      <c r="A22" s="645" t="s">
        <v>287</v>
      </c>
      <c r="B22" s="885">
        <v>5</v>
      </c>
      <c r="C22" s="672">
        <f t="shared" si="0"/>
        <v>31702.605325043016</v>
      </c>
      <c r="D22" s="673">
        <f t="shared" si="1"/>
        <v>115871.90023525461</v>
      </c>
      <c r="E22" s="672">
        <f t="shared" si="2"/>
        <v>25385.907826688475</v>
      </c>
      <c r="F22" s="673">
        <f t="shared" si="3"/>
        <v>7669.0714131396962</v>
      </c>
      <c r="G22" s="672">
        <f t="shared" si="4"/>
        <v>23881.486827120501</v>
      </c>
      <c r="H22" s="672">
        <f t="shared" si="5"/>
        <v>26224.665086935063</v>
      </c>
      <c r="I22" s="672">
        <f t="shared" si="6"/>
        <v>30295.470192187597</v>
      </c>
      <c r="J22" s="673">
        <f t="shared" si="7"/>
        <v>35800.688452461822</v>
      </c>
      <c r="K22" s="672">
        <f t="shared" si="8"/>
        <v>42421.681547022461</v>
      </c>
      <c r="L22" s="673">
        <f t="shared" si="9"/>
        <v>33055.372956518448</v>
      </c>
      <c r="M22" s="672">
        <f t="shared" si="10"/>
        <v>27337.428648658468</v>
      </c>
      <c r="N22" s="672">
        <f t="shared" si="11"/>
        <v>28369.488988969606</v>
      </c>
      <c r="O22" s="675">
        <f t="shared" si="12"/>
        <v>428015.76749999978</v>
      </c>
    </row>
    <row r="23" spans="1:15" x14ac:dyDescent="0.2">
      <c r="A23" s="645" t="s">
        <v>162</v>
      </c>
      <c r="B23" s="885">
        <v>5</v>
      </c>
      <c r="C23" s="672">
        <f t="shared" si="0"/>
        <v>31702.605325043016</v>
      </c>
      <c r="D23" s="673">
        <f t="shared" si="1"/>
        <v>115871.90023525461</v>
      </c>
      <c r="E23" s="672">
        <f t="shared" si="2"/>
        <v>25385.907826688475</v>
      </c>
      <c r="F23" s="673">
        <f t="shared" si="3"/>
        <v>7669.0714131396962</v>
      </c>
      <c r="G23" s="672">
        <f t="shared" si="4"/>
        <v>23881.486827120501</v>
      </c>
      <c r="H23" s="672">
        <f t="shared" si="5"/>
        <v>26224.665086935063</v>
      </c>
      <c r="I23" s="672">
        <f t="shared" si="6"/>
        <v>30295.470192187597</v>
      </c>
      <c r="J23" s="673">
        <f t="shared" si="7"/>
        <v>35800.688452461822</v>
      </c>
      <c r="K23" s="672">
        <f t="shared" si="8"/>
        <v>42421.681547022461</v>
      </c>
      <c r="L23" s="673">
        <f t="shared" si="9"/>
        <v>33055.372956518448</v>
      </c>
      <c r="M23" s="672">
        <f t="shared" si="10"/>
        <v>27337.428648658468</v>
      </c>
      <c r="N23" s="672">
        <f t="shared" si="11"/>
        <v>28369.488988969606</v>
      </c>
      <c r="O23" s="675">
        <f t="shared" si="12"/>
        <v>428015.76749999978</v>
      </c>
    </row>
    <row r="24" spans="1:15" x14ac:dyDescent="0.2">
      <c r="A24" s="645" t="s">
        <v>163</v>
      </c>
      <c r="B24" s="885">
        <v>5</v>
      </c>
      <c r="C24" s="672">
        <f t="shared" si="0"/>
        <v>31702.605325043016</v>
      </c>
      <c r="D24" s="673">
        <f t="shared" si="1"/>
        <v>115871.90023525461</v>
      </c>
      <c r="E24" s="672">
        <f t="shared" si="2"/>
        <v>25385.907826688475</v>
      </c>
      <c r="F24" s="673">
        <f t="shared" si="3"/>
        <v>7669.0714131396962</v>
      </c>
      <c r="G24" s="672">
        <f t="shared" si="4"/>
        <v>23881.486827120501</v>
      </c>
      <c r="H24" s="672">
        <f t="shared" si="5"/>
        <v>26224.665086935063</v>
      </c>
      <c r="I24" s="672">
        <f t="shared" si="6"/>
        <v>30295.470192187597</v>
      </c>
      <c r="J24" s="673">
        <f t="shared" si="7"/>
        <v>35800.688452461822</v>
      </c>
      <c r="K24" s="672">
        <f t="shared" si="8"/>
        <v>42421.681547022461</v>
      </c>
      <c r="L24" s="673">
        <f t="shared" si="9"/>
        <v>33055.372956518448</v>
      </c>
      <c r="M24" s="672">
        <f t="shared" si="10"/>
        <v>27337.428648658468</v>
      </c>
      <c r="N24" s="672">
        <f t="shared" si="11"/>
        <v>28369.488988969606</v>
      </c>
      <c r="O24" s="675">
        <f t="shared" si="12"/>
        <v>428015.76749999978</v>
      </c>
    </row>
    <row r="25" spans="1:15" x14ac:dyDescent="0.2">
      <c r="A25" s="645" t="s">
        <v>164</v>
      </c>
      <c r="B25" s="885">
        <v>5</v>
      </c>
      <c r="C25" s="672">
        <f t="shared" si="0"/>
        <v>31702.605325043016</v>
      </c>
      <c r="D25" s="673">
        <f t="shared" si="1"/>
        <v>115871.90023525461</v>
      </c>
      <c r="E25" s="672">
        <f t="shared" si="2"/>
        <v>25385.907826688475</v>
      </c>
      <c r="F25" s="673">
        <f t="shared" si="3"/>
        <v>7669.0714131396962</v>
      </c>
      <c r="G25" s="672">
        <f t="shared" si="4"/>
        <v>23881.486827120501</v>
      </c>
      <c r="H25" s="672">
        <f t="shared" si="5"/>
        <v>26224.665086935063</v>
      </c>
      <c r="I25" s="672">
        <f t="shared" si="6"/>
        <v>30295.470192187597</v>
      </c>
      <c r="J25" s="673">
        <f t="shared" si="7"/>
        <v>35800.688452461822</v>
      </c>
      <c r="K25" s="672">
        <f t="shared" si="8"/>
        <v>42421.681547022461</v>
      </c>
      <c r="L25" s="673">
        <f t="shared" si="9"/>
        <v>33055.372956518448</v>
      </c>
      <c r="M25" s="672">
        <f t="shared" si="10"/>
        <v>27337.428648658468</v>
      </c>
      <c r="N25" s="672">
        <f t="shared" si="11"/>
        <v>28369.488988969606</v>
      </c>
      <c r="O25" s="675">
        <f t="shared" si="12"/>
        <v>428015.76749999978</v>
      </c>
    </row>
    <row r="26" spans="1:15" ht="13.5" thickBot="1" x14ac:dyDescent="0.25">
      <c r="A26" s="645" t="s">
        <v>165</v>
      </c>
      <c r="B26" s="886">
        <v>5</v>
      </c>
      <c r="C26" s="672">
        <f t="shared" si="0"/>
        <v>31702.605325043016</v>
      </c>
      <c r="D26" s="673">
        <f t="shared" si="1"/>
        <v>115871.90023525461</v>
      </c>
      <c r="E26" s="672">
        <f t="shared" si="2"/>
        <v>25385.907826688475</v>
      </c>
      <c r="F26" s="673">
        <f t="shared" si="3"/>
        <v>7669.0714131396962</v>
      </c>
      <c r="G26" s="672">
        <f t="shared" si="4"/>
        <v>23881.486827120501</v>
      </c>
      <c r="H26" s="672">
        <f t="shared" si="5"/>
        <v>26224.665086935063</v>
      </c>
      <c r="I26" s="678">
        <f t="shared" si="6"/>
        <v>30295.470192187597</v>
      </c>
      <c r="J26" s="673">
        <f t="shared" si="7"/>
        <v>35800.688452461822</v>
      </c>
      <c r="K26" s="672">
        <f t="shared" si="8"/>
        <v>42421.681547022461</v>
      </c>
      <c r="L26" s="673">
        <f t="shared" si="9"/>
        <v>33055.372956518448</v>
      </c>
      <c r="M26" s="672">
        <f t="shared" si="10"/>
        <v>27337.428648658468</v>
      </c>
      <c r="N26" s="672">
        <f t="shared" si="11"/>
        <v>28369.488988969606</v>
      </c>
      <c r="O26" s="675">
        <f t="shared" si="12"/>
        <v>428015.76749999978</v>
      </c>
    </row>
    <row r="27" spans="1:15" ht="13.5" thickBot="1" x14ac:dyDescent="0.25">
      <c r="A27" s="650" t="s">
        <v>288</v>
      </c>
      <c r="B27" s="651">
        <f>SUM(B7:B26)</f>
        <v>100</v>
      </c>
      <c r="C27" s="680">
        <f>'X22.55 POE'!B40</f>
        <v>634052.1065008603</v>
      </c>
      <c r="D27" s="680">
        <f>'X22.55 POE'!C40</f>
        <v>2317438.0047050924</v>
      </c>
      <c r="E27" s="680">
        <f>'X22.55 POE'!D40</f>
        <v>507718.15653376956</v>
      </c>
      <c r="F27" s="680">
        <f>'X22.55 POE'!E40</f>
        <v>153381.42826279392</v>
      </c>
      <c r="G27" s="680">
        <f>'X22.55 POE'!F40</f>
        <v>477629.73654240998</v>
      </c>
      <c r="H27" s="680">
        <f>'X22.55 POE'!G40</f>
        <v>524493.3017387013</v>
      </c>
      <c r="I27" s="680">
        <f>'X22.55 POE'!H40</f>
        <v>605909.40384375188</v>
      </c>
      <c r="J27" s="680">
        <f>'X22.55 POE'!I40</f>
        <v>716013.76904923632</v>
      </c>
      <c r="K27" s="680">
        <f>'X22.55 POE'!J40</f>
        <v>848433.63094044919</v>
      </c>
      <c r="L27" s="680">
        <f>'X22.55 POE'!K40</f>
        <v>661107.45913036889</v>
      </c>
      <c r="M27" s="680">
        <f>'X22.55 POE'!L40</f>
        <v>546748.57297316939</v>
      </c>
      <c r="N27" s="680">
        <f>'X22.55 POE'!M40</f>
        <v>567389.77977939206</v>
      </c>
      <c r="O27" s="680">
        <f t="shared" ref="O27" si="13">SUM(O7:O26)</f>
        <v>8560315.3499999978</v>
      </c>
    </row>
    <row r="28" spans="1:15" hidden="1" x14ac:dyDescent="0.2">
      <c r="A28" s="661" t="s">
        <v>349</v>
      </c>
      <c r="B28" s="661"/>
      <c r="C28" s="662">
        <f>'[3]PRESUPUSTO ESTATAL 2017'!B52</f>
        <v>1521250.4468291907</v>
      </c>
      <c r="D28" s="662">
        <f>'[3]PRESUPUSTO ESTATAL 2017'!C52</f>
        <v>1992155.4322061262</v>
      </c>
      <c r="E28" s="662">
        <f>'[3]PRESUPUSTO ESTATAL 2017'!D52</f>
        <v>1561223.5204092669</v>
      </c>
      <c r="F28" s="662">
        <f>'[3]PRESUPUSTO ESTATAL 2017'!E52</f>
        <v>1709133.4840227321</v>
      </c>
      <c r="G28" s="662">
        <f>'[3]PRESUPUSTO ESTATAL 2017'!F52</f>
        <v>1794276.5472658337</v>
      </c>
      <c r="H28" s="662">
        <f>'[3]PRESUPUSTO ESTATAL 2017'!G52</f>
        <v>1664193.9164477964</v>
      </c>
      <c r="I28" s="662">
        <f>'[3]PRESUPUSTO ESTATAL 2017'!H52</f>
        <v>1722567.8942233375</v>
      </c>
      <c r="J28" s="662">
        <f>'[3]PRESUPUSTO ESTATAL 2017'!I52</f>
        <v>1774773.0179705636</v>
      </c>
      <c r="K28" s="662">
        <f>'[3]PRESUPUSTO ESTATAL 2017'!J52</f>
        <v>1814273.0193366187</v>
      </c>
      <c r="L28" s="662">
        <f>'[3]PRESUPUSTO ESTATAL 2017'!K52</f>
        <v>1772942.0603667807</v>
      </c>
      <c r="M28" s="662">
        <f>'[3]PRESUPUSTO ESTATAL 2017'!L52</f>
        <v>1696337.0334839264</v>
      </c>
      <c r="N28" s="662">
        <f>'[3]PRESUPUSTO ESTATAL 2017'!M52</f>
        <v>1676873.6274378267</v>
      </c>
      <c r="O28" s="662">
        <f>SUM(C28:N28)</f>
        <v>20700000</v>
      </c>
    </row>
    <row r="29" spans="1:15" hidden="1" x14ac:dyDescent="0.2">
      <c r="A29" s="663" t="s">
        <v>350</v>
      </c>
      <c r="B29" s="663"/>
      <c r="C29" s="664">
        <f>C28-C27</f>
        <v>887198.34032833041</v>
      </c>
      <c r="D29" s="664">
        <f t="shared" ref="D29:O29" si="14">D28-D27</f>
        <v>-325282.57249896624</v>
      </c>
      <c r="E29" s="664">
        <f t="shared" si="14"/>
        <v>1053505.3638754974</v>
      </c>
      <c r="F29" s="664">
        <f t="shared" si="14"/>
        <v>1555752.0557599382</v>
      </c>
      <c r="G29" s="664">
        <f t="shared" si="14"/>
        <v>1316646.8107234237</v>
      </c>
      <c r="H29" s="664">
        <f t="shared" si="14"/>
        <v>1139700.6147090951</v>
      </c>
      <c r="I29" s="664">
        <f t="shared" si="14"/>
        <v>1116658.4903795857</v>
      </c>
      <c r="J29" s="664">
        <f t="shared" si="14"/>
        <v>1058759.2489213273</v>
      </c>
      <c r="K29" s="664">
        <f t="shared" si="14"/>
        <v>965839.38839616952</v>
      </c>
      <c r="L29" s="664">
        <f t="shared" si="14"/>
        <v>1111834.6012364118</v>
      </c>
      <c r="M29" s="664">
        <f t="shared" si="14"/>
        <v>1149588.4605107571</v>
      </c>
      <c r="N29" s="664">
        <f t="shared" si="14"/>
        <v>1109483.8476584346</v>
      </c>
      <c r="O29" s="664">
        <f t="shared" si="14"/>
        <v>12139684.650000002</v>
      </c>
    </row>
    <row r="30" spans="1:15" x14ac:dyDescent="0.2">
      <c r="A30" s="654" t="s">
        <v>289</v>
      </c>
    </row>
    <row r="32" spans="1:15" x14ac:dyDescent="0.2">
      <c r="A32" s="640" t="s">
        <v>350</v>
      </c>
      <c r="C32" s="681">
        <f>'X22.55 POE'!B40</f>
        <v>634052.1065008603</v>
      </c>
      <c r="D32" s="681">
        <f>'X22.55 POE'!C40</f>
        <v>2317438.0047050924</v>
      </c>
      <c r="E32" s="681">
        <f>'X22.55 POE'!D40</f>
        <v>507718.15653376956</v>
      </c>
      <c r="F32" s="681">
        <f>'X22.55 POE'!E40</f>
        <v>153381.42826279392</v>
      </c>
      <c r="G32" s="681">
        <f>'X22.55 POE'!F40</f>
        <v>477629.73654240998</v>
      </c>
      <c r="H32" s="681">
        <f>'X22.55 POE'!G40</f>
        <v>524493.3017387013</v>
      </c>
      <c r="I32" s="681">
        <f>'X22.55 POE'!H40</f>
        <v>605909.40384375188</v>
      </c>
      <c r="J32" s="681">
        <f>'X22.55 POE'!I40</f>
        <v>716013.76904923632</v>
      </c>
      <c r="K32" s="681">
        <f>'X22.55 POE'!J40</f>
        <v>848433.63094044919</v>
      </c>
      <c r="L32" s="681">
        <f>'X22.55 POE'!K40</f>
        <v>661107.45913036889</v>
      </c>
      <c r="M32" s="681">
        <f>'X22.55 POE'!L40</f>
        <v>546748.57297316939</v>
      </c>
      <c r="N32" s="681">
        <f>'X22.55 POE'!M40</f>
        <v>567389.77977939206</v>
      </c>
      <c r="O32" s="681">
        <f>SUM(C32:N32)</f>
        <v>8560315.3499999959</v>
      </c>
    </row>
    <row r="34" spans="3:15" x14ac:dyDescent="0.2">
      <c r="C34" s="649"/>
      <c r="D34" s="649"/>
      <c r="E34" s="649"/>
      <c r="F34" s="649"/>
      <c r="G34" s="649"/>
      <c r="H34" s="649"/>
      <c r="I34" s="649"/>
      <c r="J34" s="649"/>
      <c r="K34" s="649"/>
      <c r="L34" s="649"/>
      <c r="M34" s="649"/>
      <c r="N34" s="649"/>
      <c r="O34" s="649"/>
    </row>
    <row r="38" spans="3:15" x14ac:dyDescent="0.2">
      <c r="K38" s="649"/>
    </row>
  </sheetData>
  <mergeCells count="4">
    <mergeCell ref="A1:O1"/>
    <mergeCell ref="A2:O2"/>
    <mergeCell ref="A3:O3"/>
    <mergeCell ref="A4:O4"/>
  </mergeCells>
  <pageMargins left="0.75" right="0.75" top="1" bottom="1" header="0" footer="0"/>
  <pageSetup paperSize="5" scale="95"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7" tint="0.39997558519241921"/>
  </sheetPr>
  <dimension ref="A1:R38"/>
  <sheetViews>
    <sheetView workbookViewId="0">
      <selection activeCell="C31" sqref="C31"/>
    </sheetView>
  </sheetViews>
  <sheetFormatPr baseColWidth="10" defaultRowHeight="12.75" x14ac:dyDescent="0.2"/>
  <cols>
    <col min="1" max="1" width="16.85546875" style="640" customWidth="1"/>
    <col min="2" max="2" width="9.28515625" style="640" bestFit="1" customWidth="1"/>
    <col min="3" max="3" width="12" style="640" bestFit="1" customWidth="1"/>
    <col min="4" max="4" width="14.7109375" style="640" bestFit="1" customWidth="1"/>
    <col min="5" max="8" width="11.7109375" style="640" bestFit="1" customWidth="1"/>
    <col min="9" max="10" width="12" style="640" bestFit="1" customWidth="1"/>
    <col min="11" max="11" width="12.140625" style="640" customWidth="1"/>
    <col min="12" max="14" width="12" style="640" bestFit="1" customWidth="1"/>
    <col min="15" max="15" width="13.140625" style="640" bestFit="1" customWidth="1"/>
    <col min="16" max="17" width="11.42578125" style="640"/>
    <col min="18" max="18" width="12.7109375" style="640" bestFit="1" customWidth="1"/>
    <col min="19" max="16384" width="11.42578125" style="640"/>
  </cols>
  <sheetData>
    <row r="1" spans="1:15" ht="15.75" x14ac:dyDescent="0.25">
      <c r="A1" s="1235" t="s">
        <v>277</v>
      </c>
      <c r="B1" s="1235"/>
      <c r="C1" s="1235"/>
      <c r="D1" s="1235"/>
      <c r="E1" s="1235"/>
      <c r="F1" s="1235"/>
      <c r="G1" s="1235"/>
      <c r="H1" s="1235"/>
      <c r="I1" s="1235"/>
      <c r="J1" s="1235"/>
      <c r="K1" s="1235"/>
      <c r="L1" s="1235"/>
      <c r="M1" s="1235"/>
      <c r="N1" s="1235"/>
      <c r="O1" s="1235"/>
    </row>
    <row r="2" spans="1:15" x14ac:dyDescent="0.2">
      <c r="A2" s="1236" t="s">
        <v>278</v>
      </c>
      <c r="B2" s="1236"/>
      <c r="C2" s="1236"/>
      <c r="D2" s="1236"/>
      <c r="E2" s="1236"/>
      <c r="F2" s="1236"/>
      <c r="G2" s="1236"/>
      <c r="H2" s="1236"/>
      <c r="I2" s="1236"/>
      <c r="J2" s="1236"/>
      <c r="K2" s="1236"/>
      <c r="L2" s="1236"/>
      <c r="M2" s="1236"/>
      <c r="N2" s="1236"/>
      <c r="O2" s="1236"/>
    </row>
    <row r="3" spans="1:15" x14ac:dyDescent="0.2">
      <c r="A3" s="1236" t="s">
        <v>279</v>
      </c>
      <c r="B3" s="1236"/>
      <c r="C3" s="1236"/>
      <c r="D3" s="1236"/>
      <c r="E3" s="1236"/>
      <c r="F3" s="1236"/>
      <c r="G3" s="1236"/>
      <c r="H3" s="1236"/>
      <c r="I3" s="1236"/>
      <c r="J3" s="1236"/>
      <c r="K3" s="1236"/>
      <c r="L3" s="1236"/>
      <c r="M3" s="1236"/>
      <c r="N3" s="1236"/>
      <c r="O3" s="1236"/>
    </row>
    <row r="4" spans="1:15" x14ac:dyDescent="0.2">
      <c r="A4" s="1237" t="s">
        <v>359</v>
      </c>
      <c r="B4" s="1237"/>
      <c r="C4" s="1237"/>
      <c r="D4" s="1237"/>
      <c r="E4" s="1237"/>
      <c r="F4" s="1237"/>
      <c r="G4" s="1237"/>
      <c r="H4" s="1237"/>
      <c r="I4" s="1237"/>
      <c r="J4" s="1237"/>
      <c r="K4" s="1237"/>
      <c r="L4" s="1237"/>
      <c r="M4" s="1237"/>
      <c r="N4" s="1237"/>
      <c r="O4" s="1237"/>
    </row>
    <row r="5" spans="1:15" ht="13.5" thickBot="1" x14ac:dyDescent="0.25"/>
    <row r="6" spans="1:15" ht="23.25" thickBot="1" x14ac:dyDescent="0.25">
      <c r="A6" s="641" t="s">
        <v>346</v>
      </c>
      <c r="B6" s="642" t="s">
        <v>281</v>
      </c>
      <c r="C6" s="641" t="s">
        <v>1</v>
      </c>
      <c r="D6" s="643" t="s">
        <v>2</v>
      </c>
      <c r="E6" s="641" t="s">
        <v>3</v>
      </c>
      <c r="F6" s="643" t="s">
        <v>4</v>
      </c>
      <c r="G6" s="641" t="s">
        <v>5</v>
      </c>
      <c r="H6" s="641" t="s">
        <v>6</v>
      </c>
      <c r="I6" s="641" t="s">
        <v>7</v>
      </c>
      <c r="J6" s="643" t="s">
        <v>8</v>
      </c>
      <c r="K6" s="641" t="s">
        <v>9</v>
      </c>
      <c r="L6" s="643" t="s">
        <v>10</v>
      </c>
      <c r="M6" s="641" t="s">
        <v>11</v>
      </c>
      <c r="N6" s="641" t="s">
        <v>12</v>
      </c>
      <c r="O6" s="644" t="s">
        <v>168</v>
      </c>
    </row>
    <row r="7" spans="1:15" x14ac:dyDescent="0.2">
      <c r="A7" s="645" t="s">
        <v>282</v>
      </c>
      <c r="B7" s="656">
        <v>3.9399999999999998E-2</v>
      </c>
      <c r="C7" s="672">
        <f>$C$27*B7</f>
        <v>56963.546951054755</v>
      </c>
      <c r="D7" s="672">
        <f>$D$27*B7</f>
        <v>86906.697217008536</v>
      </c>
      <c r="E7" s="672">
        <f>$E$27*B7</f>
        <v>59746.246585840105</v>
      </c>
      <c r="F7" s="672">
        <f>$F$27*B7</f>
        <v>67867.982827057887</v>
      </c>
      <c r="G7" s="672">
        <f>$G$27*B7</f>
        <v>64660.762935787861</v>
      </c>
      <c r="H7" s="672">
        <f>$H$27*B7</f>
        <v>67599.96159390721</v>
      </c>
      <c r="I7" s="672">
        <f>$I$27*B7</f>
        <v>68696.572300394633</v>
      </c>
      <c r="J7" s="672">
        <f>$J$27*B7</f>
        <v>71269.225402021868</v>
      </c>
      <c r="K7" s="672">
        <f>$K$27*B7</f>
        <v>68949.326174828399</v>
      </c>
      <c r="L7" s="672">
        <f>$L$27*B7</f>
        <v>67391.350673871682</v>
      </c>
      <c r="M7" s="672">
        <f>$M$27*B7</f>
        <v>65860.428313614379</v>
      </c>
      <c r="N7" s="672">
        <f>$N$27*B7</f>
        <v>66121.899024612838</v>
      </c>
      <c r="O7" s="675">
        <f>SUM(C7:N7)</f>
        <v>812034</v>
      </c>
    </row>
    <row r="8" spans="1:15" x14ac:dyDescent="0.2">
      <c r="A8" s="645" t="s">
        <v>147</v>
      </c>
      <c r="B8" s="657">
        <v>5.7799999999999997E-2</v>
      </c>
      <c r="C8" s="672">
        <f t="shared" ref="C8:C26" si="0">$C$27*B8</f>
        <v>83565.812532257987</v>
      </c>
      <c r="D8" s="672">
        <f t="shared" ref="D8:D26" si="1">$D$27*B8</f>
        <v>127492.56596809882</v>
      </c>
      <c r="E8" s="672">
        <f t="shared" ref="E8:E26" si="2">$E$27*B8</f>
        <v>87648.047021866951</v>
      </c>
      <c r="F8" s="672">
        <f t="shared" ref="F8:F26" si="3">$F$27*B8</f>
        <v>99562.675314820968</v>
      </c>
      <c r="G8" s="672">
        <f t="shared" ref="G8:G26" si="4">$G$27*B8</f>
        <v>94857.667454023816</v>
      </c>
      <c r="H8" s="672">
        <f t="shared" ref="H8:H26" si="5">$H$27*B8</f>
        <v>99169.486805275053</v>
      </c>
      <c r="I8" s="672">
        <f t="shared" ref="I8:I26" si="6">$I$27*B8</f>
        <v>100778.2202782439</v>
      </c>
      <c r="J8" s="672">
        <f t="shared" ref="J8:J26" si="7">$J$27*B8</f>
        <v>104552.31543748386</v>
      </c>
      <c r="K8" s="672">
        <f t="shared" ref="K8:K26" si="8">$K$27*B8</f>
        <v>101149.01149505284</v>
      </c>
      <c r="L8" s="672">
        <f t="shared" ref="L8:L26" si="9">$L$27*B8</f>
        <v>98863.45352664424</v>
      </c>
      <c r="M8" s="672">
        <f t="shared" ref="M8:M26" si="10">$M$27*B8</f>
        <v>96617.582652967278</v>
      </c>
      <c r="N8" s="672">
        <f t="shared" ref="N8:N26" si="11">$N$27*B8</f>
        <v>97001.161513264524</v>
      </c>
      <c r="O8" s="675">
        <f t="shared" ref="O8:O26" si="12">SUM(C8:N8)</f>
        <v>1191258.0000000002</v>
      </c>
    </row>
    <row r="9" spans="1:15" x14ac:dyDescent="0.2">
      <c r="A9" s="645" t="s">
        <v>148</v>
      </c>
      <c r="B9" s="657">
        <v>6.1199999999999997E-2</v>
      </c>
      <c r="C9" s="672">
        <f t="shared" si="0"/>
        <v>88481.44856356729</v>
      </c>
      <c r="D9" s="672">
        <f t="shared" si="1"/>
        <v>134992.12867210462</v>
      </c>
      <c r="E9" s="672">
        <f t="shared" si="2"/>
        <v>92803.814493741476</v>
      </c>
      <c r="F9" s="672">
        <f t="shared" si="3"/>
        <v>105419.30327451632</v>
      </c>
      <c r="G9" s="672">
        <f t="shared" si="4"/>
        <v>100437.53024543698</v>
      </c>
      <c r="H9" s="672">
        <f t="shared" si="5"/>
        <v>105002.98602911476</v>
      </c>
      <c r="I9" s="672">
        <f t="shared" si="6"/>
        <v>106706.35088284648</v>
      </c>
      <c r="J9" s="672">
        <f t="shared" si="7"/>
        <v>110702.45163968879</v>
      </c>
      <c r="K9" s="672">
        <f t="shared" si="8"/>
        <v>107098.95334770301</v>
      </c>
      <c r="L9" s="672">
        <f t="shared" si="9"/>
        <v>104678.95079291744</v>
      </c>
      <c r="M9" s="672">
        <f t="shared" si="10"/>
        <v>102300.96986784771</v>
      </c>
      <c r="N9" s="672">
        <f t="shared" si="11"/>
        <v>102707.11219051539</v>
      </c>
      <c r="O9" s="675">
        <f t="shared" si="12"/>
        <v>1261332.0000000005</v>
      </c>
    </row>
    <row r="10" spans="1:15" x14ac:dyDescent="0.2">
      <c r="A10" s="645" t="s">
        <v>283</v>
      </c>
      <c r="B10" s="657">
        <v>5.0799999999999998E-2</v>
      </c>
      <c r="C10" s="672">
        <f t="shared" si="0"/>
        <v>73445.385408974151</v>
      </c>
      <c r="D10" s="672">
        <f t="shared" si="1"/>
        <v>112052.28981279273</v>
      </c>
      <c r="E10" s="672">
        <f t="shared" si="2"/>
        <v>77033.231638595869</v>
      </c>
      <c r="F10" s="672">
        <f t="shared" si="3"/>
        <v>87504.911868389361</v>
      </c>
      <c r="G10" s="672">
        <f t="shared" si="4"/>
        <v>83369.714648173191</v>
      </c>
      <c r="H10" s="672">
        <f t="shared" si="5"/>
        <v>87159.341344428598</v>
      </c>
      <c r="I10" s="672">
        <f t="shared" si="6"/>
        <v>88573.245504062113</v>
      </c>
      <c r="J10" s="672">
        <f t="shared" si="7"/>
        <v>91890.270315297239</v>
      </c>
      <c r="K10" s="672">
        <f t="shared" si="8"/>
        <v>88899.131210184845</v>
      </c>
      <c r="L10" s="672">
        <f t="shared" si="9"/>
        <v>86890.370919611203</v>
      </c>
      <c r="M10" s="672">
        <f t="shared" si="10"/>
        <v>84916.491328213466</v>
      </c>
      <c r="N10" s="672">
        <f t="shared" si="11"/>
        <v>85253.616001277478</v>
      </c>
      <c r="O10" s="675">
        <f t="shared" si="12"/>
        <v>1046988.0000000002</v>
      </c>
    </row>
    <row r="11" spans="1:15" x14ac:dyDescent="0.2">
      <c r="A11" s="645" t="s">
        <v>150</v>
      </c>
      <c r="B11" s="657">
        <v>3.0700000000000002E-2</v>
      </c>
      <c r="C11" s="672">
        <f t="shared" si="0"/>
        <v>44385.301812116275</v>
      </c>
      <c r="D11" s="672">
        <f t="shared" si="1"/>
        <v>67716.63970969955</v>
      </c>
      <c r="E11" s="672">
        <f t="shared" si="2"/>
        <v>46553.54746663176</v>
      </c>
      <c r="F11" s="672">
        <f t="shared" si="3"/>
        <v>52881.905400778618</v>
      </c>
      <c r="G11" s="672">
        <f t="shared" si="4"/>
        <v>50382.878734230646</v>
      </c>
      <c r="H11" s="672">
        <f t="shared" si="5"/>
        <v>52673.066521140907</v>
      </c>
      <c r="I11" s="672">
        <f t="shared" si="6"/>
        <v>53527.532223911556</v>
      </c>
      <c r="J11" s="672">
        <f t="shared" si="7"/>
        <v>55532.112178732787</v>
      </c>
      <c r="K11" s="672">
        <f t="shared" si="8"/>
        <v>53724.474963635337</v>
      </c>
      <c r="L11" s="672">
        <f t="shared" si="9"/>
        <v>52510.519433702051</v>
      </c>
      <c r="M11" s="672">
        <f t="shared" si="10"/>
        <v>51317.643381420341</v>
      </c>
      <c r="N11" s="672">
        <f t="shared" si="11"/>
        <v>51521.378174000369</v>
      </c>
      <c r="O11" s="675">
        <f t="shared" si="12"/>
        <v>632727.00000000023</v>
      </c>
    </row>
    <row r="12" spans="1:15" x14ac:dyDescent="0.2">
      <c r="A12" s="645" t="s">
        <v>284</v>
      </c>
      <c r="B12" s="657">
        <v>9.5100000000000004E-2</v>
      </c>
      <c r="C12" s="672">
        <f t="shared" si="0"/>
        <v>137493.23134632761</v>
      </c>
      <c r="D12" s="672">
        <f t="shared" si="1"/>
        <v>209767.18033851555</v>
      </c>
      <c r="E12" s="672">
        <f t="shared" si="2"/>
        <v>144209.84899272575</v>
      </c>
      <c r="F12" s="672">
        <f t="shared" si="3"/>
        <v>163813.32910794939</v>
      </c>
      <c r="G12" s="672">
        <f t="shared" si="4"/>
        <v>156072.0445480565</v>
      </c>
      <c r="H12" s="672">
        <f t="shared" si="5"/>
        <v>163166.40476092836</v>
      </c>
      <c r="I12" s="672">
        <f t="shared" si="6"/>
        <v>165813.30014638399</v>
      </c>
      <c r="J12" s="672">
        <f t="shared" si="7"/>
        <v>172022.92730284977</v>
      </c>
      <c r="K12" s="672">
        <f t="shared" si="8"/>
        <v>166423.37358442086</v>
      </c>
      <c r="L12" s="672">
        <f t="shared" si="9"/>
        <v>162662.87941840602</v>
      </c>
      <c r="M12" s="672">
        <f t="shared" si="10"/>
        <v>158967.68356915552</v>
      </c>
      <c r="N12" s="672">
        <f t="shared" si="11"/>
        <v>159598.79688428127</v>
      </c>
      <c r="O12" s="675">
        <f t="shared" si="12"/>
        <v>1960011.0000000002</v>
      </c>
    </row>
    <row r="13" spans="1:15" x14ac:dyDescent="0.2">
      <c r="A13" s="645" t="s">
        <v>152</v>
      </c>
      <c r="B13" s="657">
        <v>9.3299999999999994E-2</v>
      </c>
      <c r="C13" s="672">
        <f t="shared" si="0"/>
        <v>134890.83580034031</v>
      </c>
      <c r="D13" s="672">
        <f t="shared" si="1"/>
        <v>205796.82361286538</v>
      </c>
      <c r="E13" s="672">
        <f t="shared" si="2"/>
        <v>141480.32503702745</v>
      </c>
      <c r="F13" s="672">
        <f t="shared" si="3"/>
        <v>160712.76136458127</v>
      </c>
      <c r="G13" s="672">
        <f t="shared" si="4"/>
        <v>153117.99954083774</v>
      </c>
      <c r="H13" s="672">
        <f t="shared" si="5"/>
        <v>160078.08164242495</v>
      </c>
      <c r="I13" s="672">
        <f t="shared" si="6"/>
        <v>162674.87806159438</v>
      </c>
      <c r="J13" s="672">
        <f t="shared" si="7"/>
        <v>168766.9728428589</v>
      </c>
      <c r="K13" s="672">
        <f t="shared" si="8"/>
        <v>163273.40436831192</v>
      </c>
      <c r="L13" s="672">
        <f t="shared" si="9"/>
        <v>159584.08674802608</v>
      </c>
      <c r="M13" s="672">
        <f t="shared" si="10"/>
        <v>155958.83151421882</v>
      </c>
      <c r="N13" s="672">
        <f t="shared" si="11"/>
        <v>156577.99946691314</v>
      </c>
      <c r="O13" s="675">
        <f t="shared" si="12"/>
        <v>1922913.0000000002</v>
      </c>
    </row>
    <row r="14" spans="1:15" x14ac:dyDescent="0.2">
      <c r="A14" s="645" t="s">
        <v>153</v>
      </c>
      <c r="B14" s="657">
        <v>4.5199999999999997E-2</v>
      </c>
      <c r="C14" s="672">
        <f t="shared" si="0"/>
        <v>65349.043710347076</v>
      </c>
      <c r="D14" s="672">
        <f t="shared" si="1"/>
        <v>99700.068888547859</v>
      </c>
      <c r="E14" s="672">
        <f t="shared" si="2"/>
        <v>68541.379331978998</v>
      </c>
      <c r="F14" s="672">
        <f t="shared" si="3"/>
        <v>77858.701111244081</v>
      </c>
      <c r="G14" s="672">
        <f t="shared" si="4"/>
        <v>74179.352403492667</v>
      </c>
      <c r="H14" s="672">
        <f t="shared" si="5"/>
        <v>77551.224975751422</v>
      </c>
      <c r="I14" s="672">
        <f t="shared" si="6"/>
        <v>78809.26568471668</v>
      </c>
      <c r="J14" s="672">
        <f t="shared" si="7"/>
        <v>81760.634217547937</v>
      </c>
      <c r="K14" s="672">
        <f t="shared" si="8"/>
        <v>79099.226982290449</v>
      </c>
      <c r="L14" s="672">
        <f t="shared" si="9"/>
        <v>77311.904833984765</v>
      </c>
      <c r="M14" s="672">
        <f t="shared" si="10"/>
        <v>75555.618268410399</v>
      </c>
      <c r="N14" s="672">
        <f t="shared" si="11"/>
        <v>75855.579591687827</v>
      </c>
      <c r="O14" s="675">
        <f t="shared" si="12"/>
        <v>931572.00000000023</v>
      </c>
    </row>
    <row r="15" spans="1:15" x14ac:dyDescent="0.2">
      <c r="A15" s="645" t="s">
        <v>154</v>
      </c>
      <c r="B15" s="657">
        <v>5.0799999999999998E-2</v>
      </c>
      <c r="C15" s="672">
        <f t="shared" si="0"/>
        <v>73445.385408974151</v>
      </c>
      <c r="D15" s="672">
        <f t="shared" si="1"/>
        <v>112052.28981279273</v>
      </c>
      <c r="E15" s="672">
        <f t="shared" si="2"/>
        <v>77033.231638595869</v>
      </c>
      <c r="F15" s="672">
        <f t="shared" si="3"/>
        <v>87504.911868389361</v>
      </c>
      <c r="G15" s="672">
        <f t="shared" si="4"/>
        <v>83369.714648173191</v>
      </c>
      <c r="H15" s="672">
        <f t="shared" si="5"/>
        <v>87159.341344428598</v>
      </c>
      <c r="I15" s="672">
        <f t="shared" si="6"/>
        <v>88573.245504062113</v>
      </c>
      <c r="J15" s="672">
        <f t="shared" si="7"/>
        <v>91890.270315297239</v>
      </c>
      <c r="K15" s="672">
        <f t="shared" si="8"/>
        <v>88899.131210184845</v>
      </c>
      <c r="L15" s="672">
        <f t="shared" si="9"/>
        <v>86890.370919611203</v>
      </c>
      <c r="M15" s="672">
        <f t="shared" si="10"/>
        <v>84916.491328213466</v>
      </c>
      <c r="N15" s="672">
        <f t="shared" si="11"/>
        <v>85253.616001277478</v>
      </c>
      <c r="O15" s="675">
        <f t="shared" si="12"/>
        <v>1046988.0000000002</v>
      </c>
    </row>
    <row r="16" spans="1:15" x14ac:dyDescent="0.2">
      <c r="A16" s="645" t="s">
        <v>155</v>
      </c>
      <c r="B16" s="657">
        <v>8.9200000000000002E-2</v>
      </c>
      <c r="C16" s="672">
        <f t="shared" si="0"/>
        <v>128963.15705670265</v>
      </c>
      <c r="D16" s="672">
        <f t="shared" si="1"/>
        <v>196753.23329332899</v>
      </c>
      <c r="E16" s="672">
        <f t="shared" si="2"/>
        <v>135263.07602682582</v>
      </c>
      <c r="F16" s="672">
        <f t="shared" si="3"/>
        <v>153650.35706024276</v>
      </c>
      <c r="G16" s="672">
        <f t="shared" si="4"/>
        <v>146389.34146883953</v>
      </c>
      <c r="H16" s="672">
        <f t="shared" si="5"/>
        <v>153043.5678725006</v>
      </c>
      <c r="I16" s="672">
        <f t="shared" si="6"/>
        <v>155526.24997957362</v>
      </c>
      <c r="J16" s="672">
        <f t="shared" si="7"/>
        <v>161350.6321284353</v>
      </c>
      <c r="K16" s="672">
        <f t="shared" si="8"/>
        <v>156098.47448717497</v>
      </c>
      <c r="L16" s="672">
        <f t="shared" si="9"/>
        <v>152571.2812210496</v>
      </c>
      <c r="M16" s="672">
        <f t="shared" si="10"/>
        <v>149105.33516686302</v>
      </c>
      <c r="N16" s="672">
        <f t="shared" si="11"/>
        <v>149697.2942384636</v>
      </c>
      <c r="O16" s="675">
        <f t="shared" si="12"/>
        <v>1838412.0000000002</v>
      </c>
    </row>
    <row r="17" spans="1:18" x14ac:dyDescent="0.2">
      <c r="A17" s="645" t="s">
        <v>156</v>
      </c>
      <c r="B17" s="657">
        <v>5.0200000000000002E-2</v>
      </c>
      <c r="C17" s="672">
        <f t="shared" si="0"/>
        <v>72577.9202269784</v>
      </c>
      <c r="D17" s="672">
        <f t="shared" si="1"/>
        <v>110728.83757090935</v>
      </c>
      <c r="E17" s="672">
        <f t="shared" si="2"/>
        <v>76123.390320029779</v>
      </c>
      <c r="F17" s="672">
        <f t="shared" si="3"/>
        <v>86471.389287266662</v>
      </c>
      <c r="G17" s="672">
        <f t="shared" si="4"/>
        <v>82385.032979100273</v>
      </c>
      <c r="H17" s="672">
        <f t="shared" si="5"/>
        <v>86129.900304927476</v>
      </c>
      <c r="I17" s="672">
        <f t="shared" si="6"/>
        <v>87527.104809132245</v>
      </c>
      <c r="J17" s="672">
        <f t="shared" si="7"/>
        <v>90804.952161966954</v>
      </c>
      <c r="K17" s="672">
        <f t="shared" si="8"/>
        <v>87849.141471481882</v>
      </c>
      <c r="L17" s="672">
        <f t="shared" si="9"/>
        <v>85864.106696151241</v>
      </c>
      <c r="M17" s="672">
        <f t="shared" si="10"/>
        <v>83913.540643234563</v>
      </c>
      <c r="N17" s="672">
        <f t="shared" si="11"/>
        <v>84246.68352882145</v>
      </c>
      <c r="O17" s="675">
        <f t="shared" si="12"/>
        <v>1034622.0000000002</v>
      </c>
    </row>
    <row r="18" spans="1:18" x14ac:dyDescent="0.2">
      <c r="A18" s="645" t="s">
        <v>157</v>
      </c>
      <c r="B18" s="657">
        <v>4.2900000000000001E-2</v>
      </c>
      <c r="C18" s="672">
        <f t="shared" si="0"/>
        <v>62023.760512696681</v>
      </c>
      <c r="D18" s="672">
        <f t="shared" si="1"/>
        <v>94626.835294661578</v>
      </c>
      <c r="E18" s="672">
        <f t="shared" si="2"/>
        <v>65053.654277475653</v>
      </c>
      <c r="F18" s="672">
        <f t="shared" si="3"/>
        <v>73896.864550273705</v>
      </c>
      <c r="G18" s="672">
        <f t="shared" si="4"/>
        <v>70404.739338713189</v>
      </c>
      <c r="H18" s="672">
        <f t="shared" si="5"/>
        <v>73605.034324330452</v>
      </c>
      <c r="I18" s="672">
        <f t="shared" si="6"/>
        <v>74799.059687485526</v>
      </c>
      <c r="J18" s="672">
        <f t="shared" si="7"/>
        <v>77600.247963115195</v>
      </c>
      <c r="K18" s="672">
        <f t="shared" si="8"/>
        <v>75074.266317262402</v>
      </c>
      <c r="L18" s="672">
        <f t="shared" si="9"/>
        <v>73377.891977388208</v>
      </c>
      <c r="M18" s="672">
        <f t="shared" si="10"/>
        <v>71710.973975991292</v>
      </c>
      <c r="N18" s="672">
        <f t="shared" si="11"/>
        <v>71995.671780606368</v>
      </c>
      <c r="O18" s="675">
        <f t="shared" si="12"/>
        <v>884169.00000000023</v>
      </c>
    </row>
    <row r="19" spans="1:18" x14ac:dyDescent="0.2">
      <c r="A19" s="645" t="s">
        <v>158</v>
      </c>
      <c r="B19" s="657">
        <v>3.04E-2</v>
      </c>
      <c r="C19" s="672">
        <f t="shared" si="0"/>
        <v>43951.569221118392</v>
      </c>
      <c r="D19" s="672">
        <f t="shared" si="1"/>
        <v>67054.91358875786</v>
      </c>
      <c r="E19" s="672">
        <f t="shared" si="2"/>
        <v>46098.626807348708</v>
      </c>
      <c r="F19" s="672">
        <f t="shared" si="3"/>
        <v>52365.144110217261</v>
      </c>
      <c r="G19" s="672">
        <f t="shared" si="4"/>
        <v>49890.537899694187</v>
      </c>
      <c r="H19" s="672">
        <f t="shared" si="5"/>
        <v>52158.346001390346</v>
      </c>
      <c r="I19" s="672">
        <f t="shared" si="6"/>
        <v>53004.461876446621</v>
      </c>
      <c r="J19" s="672">
        <f t="shared" si="7"/>
        <v>54989.453102067637</v>
      </c>
      <c r="K19" s="672">
        <f t="shared" si="8"/>
        <v>53199.480094283848</v>
      </c>
      <c r="L19" s="672">
        <f t="shared" si="9"/>
        <v>51997.387321972063</v>
      </c>
      <c r="M19" s="672">
        <f t="shared" si="10"/>
        <v>50816.168038930889</v>
      </c>
      <c r="N19" s="672">
        <f t="shared" si="11"/>
        <v>51017.911937772347</v>
      </c>
      <c r="O19" s="675">
        <f t="shared" si="12"/>
        <v>626544.00000000012</v>
      </c>
    </row>
    <row r="20" spans="1:18" x14ac:dyDescent="0.2">
      <c r="A20" s="645" t="s">
        <v>285</v>
      </c>
      <c r="B20" s="657">
        <v>6.7000000000000004E-2</v>
      </c>
      <c r="C20" s="672">
        <f t="shared" si="0"/>
        <v>96866.94532285961</v>
      </c>
      <c r="D20" s="672">
        <f t="shared" si="1"/>
        <v>147785.50034364397</v>
      </c>
      <c r="E20" s="672">
        <f t="shared" si="2"/>
        <v>101598.94723988039</v>
      </c>
      <c r="F20" s="672">
        <f t="shared" si="3"/>
        <v>115410.02155870253</v>
      </c>
      <c r="G20" s="672">
        <f t="shared" si="4"/>
        <v>109956.1197131418</v>
      </c>
      <c r="H20" s="672">
        <f t="shared" si="5"/>
        <v>114954.24941095899</v>
      </c>
      <c r="I20" s="672">
        <f t="shared" si="6"/>
        <v>116819.04426716855</v>
      </c>
      <c r="J20" s="672">
        <f t="shared" si="7"/>
        <v>121193.86045521488</v>
      </c>
      <c r="K20" s="672">
        <f t="shared" si="8"/>
        <v>117248.85415516507</v>
      </c>
      <c r="L20" s="672">
        <f t="shared" si="9"/>
        <v>114599.50495303054</v>
      </c>
      <c r="M20" s="672">
        <f t="shared" si="10"/>
        <v>111996.15982264375</v>
      </c>
      <c r="N20" s="672">
        <f t="shared" si="11"/>
        <v>112440.79275759037</v>
      </c>
      <c r="O20" s="675">
        <f t="shared" si="12"/>
        <v>1380870.0000000002</v>
      </c>
    </row>
    <row r="21" spans="1:18" x14ac:dyDescent="0.2">
      <c r="A21" s="645" t="s">
        <v>286</v>
      </c>
      <c r="B21" s="657">
        <v>5.0799999999999998E-2</v>
      </c>
      <c r="C21" s="672">
        <f t="shared" si="0"/>
        <v>73445.385408974151</v>
      </c>
      <c r="D21" s="672">
        <f t="shared" si="1"/>
        <v>112052.28981279273</v>
      </c>
      <c r="E21" s="672">
        <f t="shared" si="2"/>
        <v>77033.231638595869</v>
      </c>
      <c r="F21" s="672">
        <f t="shared" si="3"/>
        <v>87504.911868389361</v>
      </c>
      <c r="G21" s="672">
        <f t="shared" si="4"/>
        <v>83369.714648173191</v>
      </c>
      <c r="H21" s="672">
        <f t="shared" si="5"/>
        <v>87159.341344428598</v>
      </c>
      <c r="I21" s="672">
        <f t="shared" si="6"/>
        <v>88573.245504062113</v>
      </c>
      <c r="J21" s="672">
        <f t="shared" si="7"/>
        <v>91890.270315297239</v>
      </c>
      <c r="K21" s="672">
        <f t="shared" si="8"/>
        <v>88899.131210184845</v>
      </c>
      <c r="L21" s="672">
        <f t="shared" si="9"/>
        <v>86890.370919611203</v>
      </c>
      <c r="M21" s="672">
        <f t="shared" si="10"/>
        <v>84916.491328213466</v>
      </c>
      <c r="N21" s="672">
        <f t="shared" si="11"/>
        <v>85253.616001277478</v>
      </c>
      <c r="O21" s="675">
        <f t="shared" si="12"/>
        <v>1046988.0000000002</v>
      </c>
    </row>
    <row r="22" spans="1:18" x14ac:dyDescent="0.2">
      <c r="A22" s="645" t="s">
        <v>287</v>
      </c>
      <c r="B22" s="657">
        <v>1.7000000000000001E-2</v>
      </c>
      <c r="C22" s="672">
        <f t="shared" si="0"/>
        <v>24578.18015654647</v>
      </c>
      <c r="D22" s="672">
        <f t="shared" si="1"/>
        <v>37497.813520029071</v>
      </c>
      <c r="E22" s="672">
        <f t="shared" si="2"/>
        <v>25778.837359372636</v>
      </c>
      <c r="F22" s="672">
        <f t="shared" si="3"/>
        <v>29283.139798476761</v>
      </c>
      <c r="G22" s="672">
        <f t="shared" si="4"/>
        <v>27899.313957065831</v>
      </c>
      <c r="H22" s="672">
        <f t="shared" si="5"/>
        <v>29167.496119198549</v>
      </c>
      <c r="I22" s="672">
        <f t="shared" si="6"/>
        <v>29640.653023012914</v>
      </c>
      <c r="J22" s="672">
        <f t="shared" si="7"/>
        <v>30750.68101102467</v>
      </c>
      <c r="K22" s="672">
        <f t="shared" si="8"/>
        <v>29749.709263250839</v>
      </c>
      <c r="L22" s="672">
        <f t="shared" si="9"/>
        <v>29077.486331365959</v>
      </c>
      <c r="M22" s="672">
        <f t="shared" si="10"/>
        <v>28416.936074402147</v>
      </c>
      <c r="N22" s="672">
        <f t="shared" si="11"/>
        <v>28529.753386254277</v>
      </c>
      <c r="O22" s="675">
        <f t="shared" si="12"/>
        <v>350370.00000000012</v>
      </c>
    </row>
    <row r="23" spans="1:18" x14ac:dyDescent="0.2">
      <c r="A23" s="645" t="s">
        <v>162</v>
      </c>
      <c r="B23" s="657">
        <v>4.0800000000000003E-2</v>
      </c>
      <c r="C23" s="672">
        <f t="shared" si="0"/>
        <v>58987.632375711531</v>
      </c>
      <c r="D23" s="672">
        <f t="shared" si="1"/>
        <v>89994.752448069761</v>
      </c>
      <c r="E23" s="672">
        <f t="shared" si="2"/>
        <v>61869.20966249433</v>
      </c>
      <c r="F23" s="672">
        <f t="shared" si="3"/>
        <v>70279.535516344229</v>
      </c>
      <c r="G23" s="672">
        <f t="shared" si="4"/>
        <v>66958.353496957992</v>
      </c>
      <c r="H23" s="672">
        <f t="shared" si="5"/>
        <v>70001.990686076519</v>
      </c>
      <c r="I23" s="672">
        <f t="shared" si="6"/>
        <v>71137.567255230999</v>
      </c>
      <c r="J23" s="672">
        <f t="shared" si="7"/>
        <v>73801.634426459204</v>
      </c>
      <c r="K23" s="672">
        <f t="shared" si="8"/>
        <v>71399.302231802008</v>
      </c>
      <c r="L23" s="672">
        <f t="shared" si="9"/>
        <v>69785.967195278296</v>
      </c>
      <c r="M23" s="672">
        <f t="shared" si="10"/>
        <v>68200.646578565153</v>
      </c>
      <c r="N23" s="672">
        <f t="shared" si="11"/>
        <v>68471.408127010262</v>
      </c>
      <c r="O23" s="675">
        <f t="shared" si="12"/>
        <v>840888.00000000023</v>
      </c>
    </row>
    <row r="24" spans="1:18" x14ac:dyDescent="0.2">
      <c r="A24" s="645" t="s">
        <v>163</v>
      </c>
      <c r="B24" s="657">
        <v>3.7000000000000002E-3</v>
      </c>
      <c r="C24" s="672">
        <f t="shared" si="0"/>
        <v>5349.3686223071727</v>
      </c>
      <c r="D24" s="672">
        <f t="shared" si="1"/>
        <v>8161.2888249475027</v>
      </c>
      <c r="E24" s="672">
        <f t="shared" si="2"/>
        <v>5610.6881311575735</v>
      </c>
      <c r="F24" s="672">
        <f t="shared" si="3"/>
        <v>6373.3892502567069</v>
      </c>
      <c r="G24" s="672">
        <f t="shared" si="4"/>
        <v>6072.2036259496217</v>
      </c>
      <c r="H24" s="672">
        <f t="shared" si="5"/>
        <v>6348.2197435902726</v>
      </c>
      <c r="I24" s="672">
        <f t="shared" si="6"/>
        <v>6451.2009520675165</v>
      </c>
      <c r="J24" s="672">
        <f t="shared" si="7"/>
        <v>6692.795278870075</v>
      </c>
      <c r="K24" s="672">
        <f t="shared" si="8"/>
        <v>6474.9367220016529</v>
      </c>
      <c r="L24" s="672">
        <f t="shared" si="9"/>
        <v>6328.6293780031792</v>
      </c>
      <c r="M24" s="672">
        <f t="shared" si="10"/>
        <v>6184.8625573698782</v>
      </c>
      <c r="N24" s="672">
        <f t="shared" si="11"/>
        <v>6209.4169134788717</v>
      </c>
      <c r="O24" s="675">
        <f t="shared" si="12"/>
        <v>76257.000000000015</v>
      </c>
    </row>
    <row r="25" spans="1:18" x14ac:dyDescent="0.2">
      <c r="A25" s="645" t="s">
        <v>164</v>
      </c>
      <c r="B25" s="657">
        <v>3.7699999999999997E-2</v>
      </c>
      <c r="C25" s="672">
        <f t="shared" si="0"/>
        <v>54505.728935400104</v>
      </c>
      <c r="D25" s="672">
        <f t="shared" si="1"/>
        <v>83156.91586500562</v>
      </c>
      <c r="E25" s="672">
        <f t="shared" si="2"/>
        <v>57168.362849902842</v>
      </c>
      <c r="F25" s="672">
        <f t="shared" si="3"/>
        <v>64939.668847210218</v>
      </c>
      <c r="G25" s="672">
        <f t="shared" si="4"/>
        <v>61870.831540081279</v>
      </c>
      <c r="H25" s="672">
        <f t="shared" si="5"/>
        <v>64683.211981987362</v>
      </c>
      <c r="I25" s="672">
        <f t="shared" si="6"/>
        <v>65732.506998093333</v>
      </c>
      <c r="J25" s="672">
        <f t="shared" si="7"/>
        <v>68194.157300919396</v>
      </c>
      <c r="K25" s="672">
        <f t="shared" si="8"/>
        <v>65974.355248503314</v>
      </c>
      <c r="L25" s="672">
        <f t="shared" si="9"/>
        <v>64483.602040735088</v>
      </c>
      <c r="M25" s="672">
        <f t="shared" si="10"/>
        <v>63018.73470617416</v>
      </c>
      <c r="N25" s="672">
        <f t="shared" si="11"/>
        <v>63268.923685987415</v>
      </c>
      <c r="O25" s="675">
        <f t="shared" si="12"/>
        <v>776997</v>
      </c>
    </row>
    <row r="26" spans="1:18" ht="13.5" thickBot="1" x14ac:dyDescent="0.25">
      <c r="A26" s="645" t="s">
        <v>165</v>
      </c>
      <c r="B26" s="658">
        <v>4.5999999999999999E-2</v>
      </c>
      <c r="C26" s="672">
        <f t="shared" si="0"/>
        <v>66505.663953008087</v>
      </c>
      <c r="D26" s="672">
        <f t="shared" si="1"/>
        <v>101464.6718777257</v>
      </c>
      <c r="E26" s="672">
        <f t="shared" si="2"/>
        <v>69754.501090067133</v>
      </c>
      <c r="F26" s="672">
        <f t="shared" si="3"/>
        <v>79236.731219407695</v>
      </c>
      <c r="G26" s="672">
        <f t="shared" si="4"/>
        <v>75492.261295589895</v>
      </c>
      <c r="H26" s="672">
        <f t="shared" si="5"/>
        <v>78923.813028419594</v>
      </c>
      <c r="I26" s="672">
        <f t="shared" si="6"/>
        <v>80204.119944623177</v>
      </c>
      <c r="J26" s="672">
        <f t="shared" si="7"/>
        <v>83207.725088654974</v>
      </c>
      <c r="K26" s="672">
        <f t="shared" si="8"/>
        <v>80499.213300561081</v>
      </c>
      <c r="L26" s="672">
        <f t="shared" si="9"/>
        <v>78680.257131931416</v>
      </c>
      <c r="M26" s="672">
        <f t="shared" si="10"/>
        <v>76892.88584838227</v>
      </c>
      <c r="N26" s="672">
        <f t="shared" si="11"/>
        <v>77198.156221629208</v>
      </c>
      <c r="O26" s="675">
        <f t="shared" si="12"/>
        <v>948060.00000000023</v>
      </c>
    </row>
    <row r="27" spans="1:18" ht="13.5" thickBot="1" x14ac:dyDescent="0.25">
      <c r="A27" s="650" t="s">
        <v>288</v>
      </c>
      <c r="B27" s="651">
        <f>SUM(B7:B26)</f>
        <v>1</v>
      </c>
      <c r="C27" s="680">
        <f>'X22.55 POE'!B39</f>
        <v>1445775.3033262629</v>
      </c>
      <c r="D27" s="680">
        <f>'X22.55 POE'!C39</f>
        <v>2205753.7364722979</v>
      </c>
      <c r="E27" s="680">
        <f>'X22.55 POE'!D39</f>
        <v>1516402.197610155</v>
      </c>
      <c r="F27" s="680">
        <f>'X22.55 POE'!E39</f>
        <v>1722537.6352045152</v>
      </c>
      <c r="G27" s="680">
        <f>'X22.55 POE'!F39</f>
        <v>1641136.1151215194</v>
      </c>
      <c r="H27" s="680">
        <f>'X22.55 POE'!G39</f>
        <v>1715735.0658352086</v>
      </c>
      <c r="I27" s="680">
        <f>'X22.55 POE'!H39</f>
        <v>1743567.8248831125</v>
      </c>
      <c r="J27" s="680">
        <f>'X22.55 POE'!I39</f>
        <v>1808863.5888838039</v>
      </c>
      <c r="K27" s="680">
        <f>'X22.55 POE'!J39</f>
        <v>1749982.8978382845</v>
      </c>
      <c r="L27" s="680">
        <f>'X22.55 POE'!K39</f>
        <v>1710440.3724332915</v>
      </c>
      <c r="M27" s="680">
        <f>'X22.55 POE'!L39</f>
        <v>1671584.474964832</v>
      </c>
      <c r="N27" s="680">
        <f>'X22.55 POE'!M39</f>
        <v>1678220.787426722</v>
      </c>
      <c r="O27" s="680">
        <f t="shared" ref="O27" si="13">SUM(O7:O26)</f>
        <v>20610000.000000004</v>
      </c>
      <c r="Q27" s="640">
        <v>7916554.8000000026</v>
      </c>
      <c r="R27" s="649">
        <f>Q27+O27</f>
        <v>28526554.800000004</v>
      </c>
    </row>
    <row r="28" spans="1:18" hidden="1" x14ac:dyDescent="0.2">
      <c r="A28" s="661" t="s">
        <v>349</v>
      </c>
      <c r="B28" s="661"/>
      <c r="C28" s="662">
        <f>'[3]PRESUPUSTO ESTATAL 2017'!B52</f>
        <v>1521250.4468291907</v>
      </c>
      <c r="D28" s="662">
        <f>'[3]PRESUPUSTO ESTATAL 2017'!C52</f>
        <v>1992155.4322061262</v>
      </c>
      <c r="E28" s="662">
        <f>'[3]PRESUPUSTO ESTATAL 2017'!D52</f>
        <v>1561223.5204092669</v>
      </c>
      <c r="F28" s="662">
        <f>'[3]PRESUPUSTO ESTATAL 2017'!E52</f>
        <v>1709133.4840227321</v>
      </c>
      <c r="G28" s="662">
        <f>'[3]PRESUPUSTO ESTATAL 2017'!F52</f>
        <v>1794276.5472658337</v>
      </c>
      <c r="H28" s="662">
        <f>'[3]PRESUPUSTO ESTATAL 2017'!G52</f>
        <v>1664193.9164477964</v>
      </c>
      <c r="I28" s="662">
        <f>'[3]PRESUPUSTO ESTATAL 2017'!H52</f>
        <v>1722567.8942233375</v>
      </c>
      <c r="J28" s="662">
        <f>'[3]PRESUPUSTO ESTATAL 2017'!I52</f>
        <v>1774773.0179705636</v>
      </c>
      <c r="K28" s="662">
        <f>'[3]PRESUPUSTO ESTATAL 2017'!J52</f>
        <v>1814273.0193366187</v>
      </c>
      <c r="L28" s="662">
        <f>'[3]PRESUPUSTO ESTATAL 2017'!K52</f>
        <v>1772942.0603667807</v>
      </c>
      <c r="M28" s="662">
        <f>'[3]PRESUPUSTO ESTATAL 2017'!L52</f>
        <v>1696337.0334839264</v>
      </c>
      <c r="N28" s="662">
        <f>'[3]PRESUPUSTO ESTATAL 2017'!M52</f>
        <v>1676873.6274378267</v>
      </c>
      <c r="O28" s="662">
        <f>SUM(C28:N28)</f>
        <v>20700000</v>
      </c>
    </row>
    <row r="29" spans="1:18" hidden="1" x14ac:dyDescent="0.2">
      <c r="A29" s="663" t="s">
        <v>350</v>
      </c>
      <c r="B29" s="663"/>
      <c r="C29" s="664">
        <f>C28-C27</f>
        <v>75475.143502927851</v>
      </c>
      <c r="D29" s="664">
        <f t="shared" ref="D29:O29" si="14">D28-D27</f>
        <v>-213598.30426617176</v>
      </c>
      <c r="E29" s="664">
        <f t="shared" si="14"/>
        <v>44821.322799111949</v>
      </c>
      <c r="F29" s="664">
        <f t="shared" si="14"/>
        <v>-13404.151181783061</v>
      </c>
      <c r="G29" s="664">
        <f t="shared" si="14"/>
        <v>153140.43214431428</v>
      </c>
      <c r="H29" s="664">
        <f t="shared" si="14"/>
        <v>-51541.149387412239</v>
      </c>
      <c r="I29" s="664">
        <f t="shared" si="14"/>
        <v>-20999.930659774924</v>
      </c>
      <c r="J29" s="664">
        <f t="shared" si="14"/>
        <v>-34090.570913240314</v>
      </c>
      <c r="K29" s="664">
        <f t="shared" si="14"/>
        <v>64290.121498334222</v>
      </c>
      <c r="L29" s="664">
        <f t="shared" si="14"/>
        <v>62501.687933489215</v>
      </c>
      <c r="M29" s="664">
        <f t="shared" si="14"/>
        <v>24752.558519094484</v>
      </c>
      <c r="N29" s="664">
        <f t="shared" si="14"/>
        <v>-1347.1599888952915</v>
      </c>
      <c r="O29" s="664">
        <f t="shared" si="14"/>
        <v>89999.999999996275</v>
      </c>
    </row>
    <row r="30" spans="1:18" ht="13.5" thickBot="1" x14ac:dyDescent="0.25">
      <c r="A30" s="654" t="s">
        <v>289</v>
      </c>
    </row>
    <row r="31" spans="1:18" x14ac:dyDescent="0.2">
      <c r="A31" s="690" t="s">
        <v>364</v>
      </c>
      <c r="C31" s="649">
        <f>'X22.55 POE'!B38</f>
        <v>2079827.4098271232</v>
      </c>
      <c r="D31" s="649">
        <f>'X22.55 POE'!C38</f>
        <v>4523191.7411773903</v>
      </c>
      <c r="E31" s="649">
        <f>'X22.55 POE'!D38</f>
        <v>2024120.3541439245</v>
      </c>
      <c r="F31" s="649">
        <f>'X22.55 POE'!E38</f>
        <v>1875919.0634673091</v>
      </c>
      <c r="G31" s="649">
        <f>'X22.55 POE'!F38</f>
        <v>2118765.8516639294</v>
      </c>
      <c r="H31" s="649">
        <f>'X22.55 POE'!G38</f>
        <v>2240228.3675739099</v>
      </c>
      <c r="I31" s="649">
        <f>'X22.55 POE'!H38</f>
        <v>2349477.2287268643</v>
      </c>
      <c r="J31" s="649">
        <f>'X22.55 POE'!I38</f>
        <v>2524877.3579330402</v>
      </c>
      <c r="K31" s="649">
        <f>'X22.55 POE'!J38</f>
        <v>2598416.5287787337</v>
      </c>
      <c r="L31" s="649">
        <f>'X22.55 POE'!K38</f>
        <v>2371547.8315636604</v>
      </c>
      <c r="M31" s="649">
        <f>'X22.55 POE'!L38</f>
        <v>2218333.0479380013</v>
      </c>
      <c r="N31" s="649">
        <f>'X22.55 POE'!M38</f>
        <v>2245610.5672061141</v>
      </c>
      <c r="O31" s="649">
        <f>SUM(C31:N31)</f>
        <v>29170315.349999998</v>
      </c>
    </row>
    <row r="32" spans="1:18" x14ac:dyDescent="0.2">
      <c r="A32" s="693" t="s">
        <v>365</v>
      </c>
      <c r="C32" s="683">
        <f>'X22.55 POE'!B39</f>
        <v>1445775.3033262629</v>
      </c>
      <c r="D32" s="683">
        <f>'X22.55 POE'!C39</f>
        <v>2205753.7364722979</v>
      </c>
      <c r="E32" s="683">
        <f>'X22.55 POE'!D39</f>
        <v>1516402.197610155</v>
      </c>
      <c r="F32" s="683">
        <f>'X22.55 POE'!E39</f>
        <v>1722537.6352045152</v>
      </c>
      <c r="G32" s="683">
        <f>'X22.55 POE'!F39</f>
        <v>1641136.1151215194</v>
      </c>
      <c r="H32" s="683">
        <f>'X22.55 POE'!G39</f>
        <v>1715735.0658352086</v>
      </c>
      <c r="I32" s="683">
        <f>'X22.55 POE'!H39</f>
        <v>1743567.8248831125</v>
      </c>
      <c r="J32" s="683">
        <f>'X22.55 POE'!I39</f>
        <v>1808863.5888838039</v>
      </c>
      <c r="K32" s="683">
        <f>'X22.55 POE'!J39</f>
        <v>1749982.8978382845</v>
      </c>
      <c r="L32" s="683">
        <f>'X22.55 POE'!K39</f>
        <v>1710440.3724332915</v>
      </c>
      <c r="M32" s="683">
        <f>'X22.55 POE'!L39</f>
        <v>1671584.474964832</v>
      </c>
      <c r="N32" s="683">
        <f>'X22.55 POE'!M39</f>
        <v>1678220.787426722</v>
      </c>
      <c r="O32" s="683">
        <f>SUM(C32:N32)</f>
        <v>20610000.000000004</v>
      </c>
    </row>
    <row r="33" spans="1:15" ht="13.5" thickBot="1" x14ac:dyDescent="0.25">
      <c r="A33" s="697" t="s">
        <v>350</v>
      </c>
      <c r="C33" s="683">
        <f>C31-C32</f>
        <v>634052.1065008603</v>
      </c>
      <c r="D33" s="683">
        <f t="shared" ref="D33:N33" si="15">D31-D32</f>
        <v>2317438.0047050924</v>
      </c>
      <c r="E33" s="683">
        <f t="shared" si="15"/>
        <v>507718.15653376956</v>
      </c>
      <c r="F33" s="683">
        <f t="shared" si="15"/>
        <v>153381.42826279392</v>
      </c>
      <c r="G33" s="683">
        <f t="shared" si="15"/>
        <v>477629.73654240998</v>
      </c>
      <c r="H33" s="683">
        <f t="shared" si="15"/>
        <v>524493.3017387013</v>
      </c>
      <c r="I33" s="683">
        <f t="shared" si="15"/>
        <v>605909.40384375188</v>
      </c>
      <c r="J33" s="683">
        <f t="shared" si="15"/>
        <v>716013.76904923632</v>
      </c>
      <c r="K33" s="683">
        <f t="shared" si="15"/>
        <v>848433.63094044919</v>
      </c>
      <c r="L33" s="683">
        <f t="shared" si="15"/>
        <v>661107.45913036889</v>
      </c>
      <c r="M33" s="683">
        <f t="shared" si="15"/>
        <v>546748.57297316939</v>
      </c>
      <c r="N33" s="683">
        <f t="shared" si="15"/>
        <v>567389.77977939206</v>
      </c>
      <c r="O33" s="683">
        <f>SUM(C33:N33)</f>
        <v>8560315.3499999959</v>
      </c>
    </row>
    <row r="34" spans="1:15" x14ac:dyDescent="0.2">
      <c r="C34" s="649"/>
      <c r="D34" s="649"/>
      <c r="E34" s="649"/>
      <c r="F34" s="649"/>
      <c r="G34" s="649"/>
      <c r="H34" s="649"/>
      <c r="I34" s="649"/>
      <c r="J34" s="649"/>
      <c r="K34" s="649"/>
      <c r="L34" s="649"/>
      <c r="M34" s="649"/>
      <c r="N34" s="649"/>
      <c r="O34" s="649"/>
    </row>
    <row r="36" spans="1:15" x14ac:dyDescent="0.2">
      <c r="C36" s="649">
        <v>1445775.3033262629</v>
      </c>
      <c r="D36" s="649">
        <v>2205753.7364722979</v>
      </c>
      <c r="E36" s="649">
        <v>1516402.197610155</v>
      </c>
      <c r="F36" s="649">
        <v>1722537.6352045152</v>
      </c>
      <c r="G36" s="649">
        <v>1641136.1151215194</v>
      </c>
      <c r="H36" s="649">
        <v>1715735.0658352086</v>
      </c>
      <c r="I36" s="649">
        <v>1743567.8248831125</v>
      </c>
      <c r="J36" s="649">
        <v>1808863.5888838039</v>
      </c>
      <c r="K36" s="649">
        <v>1749982.8978382845</v>
      </c>
      <c r="L36" s="649">
        <v>1710440.3724332915</v>
      </c>
      <c r="M36" s="649">
        <v>1671584.474964832</v>
      </c>
      <c r="N36" s="649">
        <v>1678220.787426722</v>
      </c>
    </row>
    <row r="38" spans="1:15" x14ac:dyDescent="0.2">
      <c r="K38" s="649"/>
    </row>
  </sheetData>
  <mergeCells count="4">
    <mergeCell ref="A1:O1"/>
    <mergeCell ref="A2:O2"/>
    <mergeCell ref="A3:O3"/>
    <mergeCell ref="A4:O4"/>
  </mergeCells>
  <pageMargins left="0.75" right="0.75" top="1" bottom="1" header="0" footer="0"/>
  <pageSetup paperSize="5" scale="95"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tabColor theme="7" tint="0.59999389629810485"/>
  </sheetPr>
  <dimension ref="A1:O36"/>
  <sheetViews>
    <sheetView workbookViewId="0">
      <selection activeCell="A3" sqref="A3"/>
    </sheetView>
  </sheetViews>
  <sheetFormatPr baseColWidth="10" defaultRowHeight="12.75" x14ac:dyDescent="0.2"/>
  <cols>
    <col min="1" max="1" width="16.85546875" style="640" customWidth="1"/>
    <col min="2" max="2" width="9.28515625" style="640" hidden="1" customWidth="1"/>
    <col min="3" max="10" width="7.85546875" style="640" customWidth="1"/>
    <col min="11" max="11" width="9.5703125" style="640" customWidth="1"/>
    <col min="12" max="12" width="7.85546875" style="640" customWidth="1"/>
    <col min="13" max="13" width="9.42578125" style="640" customWidth="1"/>
    <col min="14" max="14" width="9.28515625" style="640" customWidth="1"/>
    <col min="15" max="15" width="11.42578125" style="640" bestFit="1" customWidth="1"/>
    <col min="16" max="16384" width="11.42578125" style="640"/>
  </cols>
  <sheetData>
    <row r="1" spans="1:15" ht="15.75" x14ac:dyDescent="0.25">
      <c r="A1" s="1235" t="s">
        <v>277</v>
      </c>
      <c r="B1" s="1235"/>
      <c r="C1" s="1235"/>
      <c r="D1" s="1235"/>
      <c r="E1" s="1235"/>
      <c r="F1" s="1235"/>
      <c r="G1" s="1235"/>
      <c r="H1" s="1235"/>
      <c r="I1" s="1235"/>
      <c r="J1" s="1235"/>
      <c r="K1" s="1235"/>
      <c r="L1" s="1235"/>
      <c r="M1" s="1235"/>
      <c r="N1" s="1235"/>
      <c r="O1" s="1235"/>
    </row>
    <row r="2" spans="1:15" x14ac:dyDescent="0.2">
      <c r="A2" s="1237" t="s">
        <v>485</v>
      </c>
      <c r="B2" s="1237"/>
      <c r="C2" s="1237"/>
      <c r="D2" s="1237"/>
      <c r="E2" s="1237"/>
      <c r="F2" s="1237"/>
      <c r="G2" s="1237"/>
      <c r="H2" s="1237"/>
      <c r="I2" s="1237"/>
      <c r="J2" s="1237"/>
      <c r="K2" s="1237"/>
      <c r="L2" s="1237"/>
      <c r="M2" s="1237"/>
      <c r="N2" s="1237"/>
      <c r="O2" s="1237"/>
    </row>
    <row r="3" spans="1:15" ht="13.5" thickBot="1" x14ac:dyDescent="0.25"/>
    <row r="4" spans="1:15" ht="23.25" thickBot="1" x14ac:dyDescent="0.25">
      <c r="A4" s="641" t="s">
        <v>348</v>
      </c>
      <c r="B4" s="642" t="s">
        <v>281</v>
      </c>
      <c r="C4" s="641" t="s">
        <v>1</v>
      </c>
      <c r="D4" s="643" t="s">
        <v>2</v>
      </c>
      <c r="E4" s="641" t="s">
        <v>3</v>
      </c>
      <c r="F4" s="643" t="s">
        <v>4</v>
      </c>
      <c r="G4" s="641" t="s">
        <v>5</v>
      </c>
      <c r="H4" s="641" t="s">
        <v>6</v>
      </c>
      <c r="I4" s="641" t="s">
        <v>7</v>
      </c>
      <c r="J4" s="643" t="s">
        <v>8</v>
      </c>
      <c r="K4" s="641" t="s">
        <v>9</v>
      </c>
      <c r="L4" s="643" t="s">
        <v>10</v>
      </c>
      <c r="M4" s="641" t="s">
        <v>11</v>
      </c>
      <c r="N4" s="641" t="s">
        <v>12</v>
      </c>
      <c r="O4" s="644" t="s">
        <v>168</v>
      </c>
    </row>
    <row r="5" spans="1:15" ht="12.75" customHeight="1" x14ac:dyDescent="0.2">
      <c r="A5" s="645" t="s">
        <v>282</v>
      </c>
      <c r="B5" s="656"/>
      <c r="C5" s="647">
        <f>'IEPS INCREMENTO'!C7+'IEPS ESTIMACIONES'!C7</f>
        <v>88666.152276097768</v>
      </c>
      <c r="D5" s="647">
        <f>'IEPS INCREMENTO'!D7+'IEPS ESTIMACIONES'!D7</f>
        <v>202778.59745226314</v>
      </c>
      <c r="E5" s="647">
        <f>'IEPS INCREMENTO'!E7+'IEPS ESTIMACIONES'!E7</f>
        <v>85132.154412528587</v>
      </c>
      <c r="F5" s="647">
        <f>'IEPS INCREMENTO'!F7+'IEPS ESTIMACIONES'!F7</f>
        <v>75537.054240197584</v>
      </c>
      <c r="G5" s="647">
        <f>'IEPS INCREMENTO'!G7+'IEPS ESTIMACIONES'!G7</f>
        <v>88542.249762908366</v>
      </c>
      <c r="H5" s="647">
        <f>'IEPS INCREMENTO'!H7+'IEPS ESTIMACIONES'!H7</f>
        <v>93824.626680842281</v>
      </c>
      <c r="I5" s="647">
        <f>'IEPS INCREMENTO'!I7+'IEPS ESTIMACIONES'!I7</f>
        <v>98992.04249258223</v>
      </c>
      <c r="J5" s="647">
        <f>'IEPS INCREMENTO'!J7+'IEPS ESTIMACIONES'!J7</f>
        <v>107069.91385448369</v>
      </c>
      <c r="K5" s="647">
        <f>'IEPS INCREMENTO'!K7+'IEPS ESTIMACIONES'!K7</f>
        <v>111371.00772185085</v>
      </c>
      <c r="L5" s="647">
        <f>'IEPS INCREMENTO'!L7+'IEPS ESTIMACIONES'!L7</f>
        <v>100446.72363039013</v>
      </c>
      <c r="M5" s="647">
        <f>'IEPS INCREMENTO'!M7+'IEPS ESTIMACIONES'!M7</f>
        <v>93197.856962272839</v>
      </c>
      <c r="N5" s="647">
        <f>'IEPS INCREMENTO'!N7+'IEPS ESTIMACIONES'!N7</f>
        <v>94491.388013582444</v>
      </c>
      <c r="O5" s="648">
        <f>SUM(C5:N5)</f>
        <v>1240049.7675000001</v>
      </c>
    </row>
    <row r="6" spans="1:15" ht="12.75" customHeight="1" x14ac:dyDescent="0.2">
      <c r="A6" s="645" t="s">
        <v>147</v>
      </c>
      <c r="B6" s="657"/>
      <c r="C6" s="647">
        <f>'IEPS INCREMENTO'!C8+'IEPS ESTIMACIONES'!C8</f>
        <v>115268.417857301</v>
      </c>
      <c r="D6" s="647">
        <f>'IEPS INCREMENTO'!D8+'IEPS ESTIMACIONES'!D8</f>
        <v>243364.46620335343</v>
      </c>
      <c r="E6" s="647">
        <f>'IEPS INCREMENTO'!E8+'IEPS ESTIMACIONES'!E8</f>
        <v>113033.95484855543</v>
      </c>
      <c r="F6" s="647">
        <f>'IEPS INCREMENTO'!F8+'IEPS ESTIMACIONES'!F8</f>
        <v>107231.74672796066</v>
      </c>
      <c r="G6" s="647">
        <f>'IEPS INCREMENTO'!G8+'IEPS ESTIMACIONES'!G8</f>
        <v>118739.15428114432</v>
      </c>
      <c r="H6" s="647">
        <f>'IEPS INCREMENTO'!H8+'IEPS ESTIMACIONES'!H8</f>
        <v>125394.15189221012</v>
      </c>
      <c r="I6" s="647">
        <f>'IEPS INCREMENTO'!I8+'IEPS ESTIMACIONES'!I8</f>
        <v>131073.69047043149</v>
      </c>
      <c r="J6" s="647">
        <f>'IEPS INCREMENTO'!J8+'IEPS ESTIMACIONES'!J8</f>
        <v>140353.00388994568</v>
      </c>
      <c r="K6" s="647">
        <f>'IEPS INCREMENTO'!K8+'IEPS ESTIMACIONES'!K8</f>
        <v>143570.69304207529</v>
      </c>
      <c r="L6" s="647">
        <f>'IEPS INCREMENTO'!L8+'IEPS ESTIMACIONES'!L8</f>
        <v>131918.8264831627</v>
      </c>
      <c r="M6" s="647">
        <f>'IEPS INCREMENTO'!M8+'IEPS ESTIMACIONES'!M8</f>
        <v>123955.01130162575</v>
      </c>
      <c r="N6" s="647">
        <f>'IEPS INCREMENTO'!N8+'IEPS ESTIMACIONES'!N8</f>
        <v>125370.65050223413</v>
      </c>
      <c r="O6" s="648">
        <f t="shared" ref="O6:O24" si="0">SUM(C6:N6)</f>
        <v>1619273.7674999998</v>
      </c>
    </row>
    <row r="7" spans="1:15" ht="12.75" customHeight="1" x14ac:dyDescent="0.2">
      <c r="A7" s="645" t="s">
        <v>148</v>
      </c>
      <c r="B7" s="657"/>
      <c r="C7" s="647">
        <f>'IEPS INCREMENTO'!C9+'IEPS ESTIMACIONES'!C9</f>
        <v>120184.0538886103</v>
      </c>
      <c r="D7" s="647">
        <f>'IEPS INCREMENTO'!D9+'IEPS ESTIMACIONES'!D9</f>
        <v>250864.02890735923</v>
      </c>
      <c r="E7" s="647">
        <f>'IEPS INCREMENTO'!E9+'IEPS ESTIMACIONES'!E9</f>
        <v>118189.72232042995</v>
      </c>
      <c r="F7" s="647">
        <f>'IEPS INCREMENTO'!F9+'IEPS ESTIMACIONES'!F9</f>
        <v>113088.37468765602</v>
      </c>
      <c r="G7" s="647">
        <f>'IEPS INCREMENTO'!G9+'IEPS ESTIMACIONES'!G9</f>
        <v>124319.01707255749</v>
      </c>
      <c r="H7" s="647">
        <f>'IEPS INCREMENTO'!H9+'IEPS ESTIMACIONES'!H9</f>
        <v>131227.65111604982</v>
      </c>
      <c r="I7" s="647">
        <f>'IEPS INCREMENTO'!I9+'IEPS ESTIMACIONES'!I9</f>
        <v>137001.82107503409</v>
      </c>
      <c r="J7" s="647">
        <f>'IEPS INCREMENTO'!J9+'IEPS ESTIMACIONES'!J9</f>
        <v>146503.1400921506</v>
      </c>
      <c r="K7" s="647">
        <f>'IEPS INCREMENTO'!K9+'IEPS ESTIMACIONES'!K9</f>
        <v>149520.63489472546</v>
      </c>
      <c r="L7" s="647">
        <f>'IEPS INCREMENTO'!L9+'IEPS ESTIMACIONES'!L9</f>
        <v>137734.32374943589</v>
      </c>
      <c r="M7" s="647">
        <f>'IEPS INCREMENTO'!M9+'IEPS ESTIMACIONES'!M9</f>
        <v>129638.39851650619</v>
      </c>
      <c r="N7" s="647">
        <f>'IEPS INCREMENTO'!N9+'IEPS ESTIMACIONES'!N9</f>
        <v>131076.60117948498</v>
      </c>
      <c r="O7" s="648">
        <f t="shared" si="0"/>
        <v>1689347.7675000001</v>
      </c>
    </row>
    <row r="8" spans="1:15" ht="12.75" customHeight="1" x14ac:dyDescent="0.2">
      <c r="A8" s="645" t="s">
        <v>283</v>
      </c>
      <c r="B8" s="657"/>
      <c r="C8" s="647">
        <f>'IEPS INCREMENTO'!C10+'IEPS ESTIMACIONES'!C10</f>
        <v>105147.99073401716</v>
      </c>
      <c r="D8" s="647">
        <f>'IEPS INCREMENTO'!D10+'IEPS ESTIMACIONES'!D10</f>
        <v>227924.19004804734</v>
      </c>
      <c r="E8" s="647">
        <f>'IEPS INCREMENTO'!E10+'IEPS ESTIMACIONES'!E10</f>
        <v>102419.13946528434</v>
      </c>
      <c r="F8" s="647">
        <f>'IEPS INCREMENTO'!F10+'IEPS ESTIMACIONES'!F10</f>
        <v>95173.983281529057</v>
      </c>
      <c r="G8" s="647">
        <f>'IEPS INCREMENTO'!G10+'IEPS ESTIMACIONES'!G10</f>
        <v>107251.2014752937</v>
      </c>
      <c r="H8" s="647">
        <f>'IEPS INCREMENTO'!H10+'IEPS ESTIMACIONES'!H10</f>
        <v>113384.00643136367</v>
      </c>
      <c r="I8" s="647">
        <f>'IEPS INCREMENTO'!I10+'IEPS ESTIMACIONES'!I10</f>
        <v>118868.71569624971</v>
      </c>
      <c r="J8" s="647">
        <f>'IEPS INCREMENTO'!J10+'IEPS ESTIMACIONES'!J10</f>
        <v>127690.95876775906</v>
      </c>
      <c r="K8" s="647">
        <f>'IEPS INCREMENTO'!K10+'IEPS ESTIMACIONES'!K10</f>
        <v>131320.81275720731</v>
      </c>
      <c r="L8" s="647">
        <f>'IEPS INCREMENTO'!L10+'IEPS ESTIMACIONES'!L10</f>
        <v>119945.74387612965</v>
      </c>
      <c r="M8" s="647">
        <f>'IEPS INCREMENTO'!M10+'IEPS ESTIMACIONES'!M10</f>
        <v>112253.91997687193</v>
      </c>
      <c r="N8" s="647">
        <f>'IEPS INCREMENTO'!N10+'IEPS ESTIMACIONES'!N10</f>
        <v>113623.10499024708</v>
      </c>
      <c r="O8" s="648">
        <f t="shared" si="0"/>
        <v>1475003.7675000001</v>
      </c>
    </row>
    <row r="9" spans="1:15" ht="12.75" customHeight="1" x14ac:dyDescent="0.2">
      <c r="A9" s="645" t="s">
        <v>150</v>
      </c>
      <c r="B9" s="657"/>
      <c r="C9" s="647">
        <f>'IEPS INCREMENTO'!C11+'IEPS ESTIMACIONES'!C11</f>
        <v>76087.907137159287</v>
      </c>
      <c r="D9" s="647">
        <f>'IEPS INCREMENTO'!D11+'IEPS ESTIMACIONES'!D11</f>
        <v>183588.53994495416</v>
      </c>
      <c r="E9" s="647">
        <f>'IEPS INCREMENTO'!E11+'IEPS ESTIMACIONES'!E11</f>
        <v>71939.455293320236</v>
      </c>
      <c r="F9" s="647">
        <f>'IEPS INCREMENTO'!F11+'IEPS ESTIMACIONES'!F11</f>
        <v>60550.976813918314</v>
      </c>
      <c r="G9" s="647">
        <f>'IEPS INCREMENTO'!G11+'IEPS ESTIMACIONES'!G11</f>
        <v>74264.365561351151</v>
      </c>
      <c r="H9" s="647">
        <f>'IEPS INCREMENTO'!H11+'IEPS ESTIMACIONES'!H11</f>
        <v>78897.731608075963</v>
      </c>
      <c r="I9" s="647">
        <f>'IEPS INCREMENTO'!I11+'IEPS ESTIMACIONES'!I11</f>
        <v>83823.00241609916</v>
      </c>
      <c r="J9" s="647">
        <f>'IEPS INCREMENTO'!J11+'IEPS ESTIMACIONES'!J11</f>
        <v>91332.800631194608</v>
      </c>
      <c r="K9" s="647">
        <f>'IEPS INCREMENTO'!K11+'IEPS ESTIMACIONES'!K11</f>
        <v>96146.156510657805</v>
      </c>
      <c r="L9" s="647">
        <f>'IEPS INCREMENTO'!L11+'IEPS ESTIMACIONES'!L11</f>
        <v>85565.892390220499</v>
      </c>
      <c r="M9" s="647">
        <f>'IEPS INCREMENTO'!M11+'IEPS ESTIMACIONES'!M11</f>
        <v>78655.072030078809</v>
      </c>
      <c r="N9" s="647">
        <f>'IEPS INCREMENTO'!N11+'IEPS ESTIMACIONES'!N11</f>
        <v>79890.867162969982</v>
      </c>
      <c r="O9" s="648">
        <f t="shared" si="0"/>
        <v>1060742.7675000003</v>
      </c>
    </row>
    <row r="10" spans="1:15" ht="12.75" customHeight="1" x14ac:dyDescent="0.2">
      <c r="A10" s="645" t="s">
        <v>284</v>
      </c>
      <c r="B10" s="657"/>
      <c r="C10" s="647">
        <f>'IEPS INCREMENTO'!C12+'IEPS ESTIMACIONES'!C12</f>
        <v>169195.83667137063</v>
      </c>
      <c r="D10" s="647">
        <f>'IEPS INCREMENTO'!D12+'IEPS ESTIMACIONES'!D12</f>
        <v>325639.08057377016</v>
      </c>
      <c r="E10" s="647">
        <f>'IEPS INCREMENTO'!E12+'IEPS ESTIMACIONES'!E12</f>
        <v>169595.75681941421</v>
      </c>
      <c r="F10" s="647">
        <f>'IEPS INCREMENTO'!F12+'IEPS ESTIMACIONES'!F12</f>
        <v>171482.40052108909</v>
      </c>
      <c r="G10" s="647">
        <f>'IEPS INCREMENTO'!G12+'IEPS ESTIMACIONES'!G12</f>
        <v>179953.531375177</v>
      </c>
      <c r="H10" s="647">
        <f>'IEPS INCREMENTO'!H12+'IEPS ESTIMACIONES'!H12</f>
        <v>189391.06984786343</v>
      </c>
      <c r="I10" s="647">
        <f>'IEPS INCREMENTO'!I12+'IEPS ESTIMACIONES'!I12</f>
        <v>196108.77033857157</v>
      </c>
      <c r="J10" s="647">
        <f>'IEPS INCREMENTO'!J12+'IEPS ESTIMACIONES'!J12</f>
        <v>207823.61575531159</v>
      </c>
      <c r="K10" s="647">
        <f>'IEPS INCREMENTO'!K12+'IEPS ESTIMACIONES'!K12</f>
        <v>208845.05513144331</v>
      </c>
      <c r="L10" s="647">
        <f>'IEPS INCREMENTO'!L12+'IEPS ESTIMACIONES'!L12</f>
        <v>195718.25237492449</v>
      </c>
      <c r="M10" s="647">
        <f>'IEPS INCREMENTO'!M12+'IEPS ESTIMACIONES'!M12</f>
        <v>186305.11221781399</v>
      </c>
      <c r="N10" s="647">
        <f>'IEPS INCREMENTO'!N12+'IEPS ESTIMACIONES'!N12</f>
        <v>187968.28587325086</v>
      </c>
      <c r="O10" s="648">
        <f t="shared" si="0"/>
        <v>2388026.7675000005</v>
      </c>
    </row>
    <row r="11" spans="1:15" ht="12.75" customHeight="1" x14ac:dyDescent="0.2">
      <c r="A11" s="645" t="s">
        <v>152</v>
      </c>
      <c r="B11" s="657"/>
      <c r="C11" s="647">
        <f>'IEPS INCREMENTO'!C13+'IEPS ESTIMACIONES'!C13</f>
        <v>166593.44112538334</v>
      </c>
      <c r="D11" s="647">
        <f>'IEPS INCREMENTO'!D13+'IEPS ESTIMACIONES'!D13</f>
        <v>321668.72384811996</v>
      </c>
      <c r="E11" s="647">
        <f>'IEPS INCREMENTO'!E13+'IEPS ESTIMACIONES'!E13</f>
        <v>166866.23286371591</v>
      </c>
      <c r="F11" s="647">
        <f>'IEPS INCREMENTO'!F13+'IEPS ESTIMACIONES'!F13</f>
        <v>168381.83277772096</v>
      </c>
      <c r="G11" s="647">
        <f>'IEPS INCREMENTO'!G13+'IEPS ESTIMACIONES'!G13</f>
        <v>176999.48636795825</v>
      </c>
      <c r="H11" s="647">
        <f>'IEPS INCREMENTO'!H13+'IEPS ESTIMACIONES'!H13</f>
        <v>186302.74672936002</v>
      </c>
      <c r="I11" s="647">
        <f>'IEPS INCREMENTO'!I13+'IEPS ESTIMACIONES'!I13</f>
        <v>192970.34825378197</v>
      </c>
      <c r="J11" s="647">
        <f>'IEPS INCREMENTO'!J13+'IEPS ESTIMACIONES'!J13</f>
        <v>204567.66129532072</v>
      </c>
      <c r="K11" s="647">
        <f>'IEPS INCREMENTO'!K13+'IEPS ESTIMACIONES'!K13</f>
        <v>205695.08591533438</v>
      </c>
      <c r="L11" s="647">
        <f>'IEPS INCREMENTO'!L13+'IEPS ESTIMACIONES'!L13</f>
        <v>192639.45970454451</v>
      </c>
      <c r="M11" s="647">
        <f>'IEPS INCREMENTO'!M13+'IEPS ESTIMACIONES'!M13</f>
        <v>183296.2601628773</v>
      </c>
      <c r="N11" s="647">
        <f>'IEPS INCREMENTO'!N13+'IEPS ESTIMACIONES'!N13</f>
        <v>184947.48845588276</v>
      </c>
      <c r="O11" s="648">
        <f t="shared" si="0"/>
        <v>2350928.7675000001</v>
      </c>
    </row>
    <row r="12" spans="1:15" ht="12.75" customHeight="1" x14ac:dyDescent="0.2">
      <c r="A12" s="645" t="s">
        <v>153</v>
      </c>
      <c r="B12" s="657"/>
      <c r="C12" s="647">
        <f>'IEPS INCREMENTO'!C14+'IEPS ESTIMACIONES'!C14</f>
        <v>97051.649035390088</v>
      </c>
      <c r="D12" s="647">
        <f>'IEPS INCREMENTO'!D14+'IEPS ESTIMACIONES'!D14</f>
        <v>215571.96912380247</v>
      </c>
      <c r="E12" s="647">
        <f>'IEPS INCREMENTO'!E14+'IEPS ESTIMACIONES'!E14</f>
        <v>93927.287158667474</v>
      </c>
      <c r="F12" s="647">
        <f>'IEPS INCREMENTO'!F14+'IEPS ESTIMACIONES'!F14</f>
        <v>85527.772524383778</v>
      </c>
      <c r="G12" s="647">
        <f>'IEPS INCREMENTO'!G14+'IEPS ESTIMACIONES'!G14</f>
        <v>98060.839230613172</v>
      </c>
      <c r="H12" s="647">
        <f>'IEPS INCREMENTO'!H14+'IEPS ESTIMACIONES'!H14</f>
        <v>103775.89006268649</v>
      </c>
      <c r="I12" s="647">
        <f>'IEPS INCREMENTO'!I14+'IEPS ESTIMACIONES'!I14</f>
        <v>109104.73587690428</v>
      </c>
      <c r="J12" s="647">
        <f>'IEPS INCREMENTO'!J14+'IEPS ESTIMACIONES'!J14</f>
        <v>117561.32267000976</v>
      </c>
      <c r="K12" s="647">
        <f>'IEPS INCREMENTO'!K14+'IEPS ESTIMACIONES'!K14</f>
        <v>121520.9085293129</v>
      </c>
      <c r="L12" s="647">
        <f>'IEPS INCREMENTO'!L14+'IEPS ESTIMACIONES'!L14</f>
        <v>110367.27779050321</v>
      </c>
      <c r="M12" s="647">
        <f>'IEPS INCREMENTO'!M14+'IEPS ESTIMACIONES'!M14</f>
        <v>102893.04691706886</v>
      </c>
      <c r="N12" s="647">
        <f>'IEPS INCREMENTO'!N14+'IEPS ESTIMACIONES'!N14</f>
        <v>104225.06858065743</v>
      </c>
      <c r="O12" s="648">
        <f t="shared" si="0"/>
        <v>1359587.7674999998</v>
      </c>
    </row>
    <row r="13" spans="1:15" ht="12.75" customHeight="1" x14ac:dyDescent="0.2">
      <c r="A13" s="645" t="s">
        <v>154</v>
      </c>
      <c r="B13" s="657"/>
      <c r="C13" s="647">
        <f>'IEPS INCREMENTO'!C15+'IEPS ESTIMACIONES'!C15</f>
        <v>105147.99073401716</v>
      </c>
      <c r="D13" s="647">
        <f>'IEPS INCREMENTO'!D15+'IEPS ESTIMACIONES'!D15</f>
        <v>227924.19004804734</v>
      </c>
      <c r="E13" s="647">
        <f>'IEPS INCREMENTO'!E15+'IEPS ESTIMACIONES'!E15</f>
        <v>102419.13946528434</v>
      </c>
      <c r="F13" s="647">
        <f>'IEPS INCREMENTO'!F15+'IEPS ESTIMACIONES'!F15</f>
        <v>95173.983281529057</v>
      </c>
      <c r="G13" s="647">
        <f>'IEPS INCREMENTO'!G15+'IEPS ESTIMACIONES'!G15</f>
        <v>107251.2014752937</v>
      </c>
      <c r="H13" s="647">
        <f>'IEPS INCREMENTO'!H15+'IEPS ESTIMACIONES'!H15</f>
        <v>113384.00643136367</v>
      </c>
      <c r="I13" s="647">
        <f>'IEPS INCREMENTO'!I15+'IEPS ESTIMACIONES'!I15</f>
        <v>118868.71569624971</v>
      </c>
      <c r="J13" s="647">
        <f>'IEPS INCREMENTO'!J15+'IEPS ESTIMACIONES'!J15</f>
        <v>127690.95876775906</v>
      </c>
      <c r="K13" s="647">
        <f>'IEPS INCREMENTO'!K15+'IEPS ESTIMACIONES'!K15</f>
        <v>131320.81275720731</v>
      </c>
      <c r="L13" s="647">
        <f>'IEPS INCREMENTO'!L15+'IEPS ESTIMACIONES'!L15</f>
        <v>119945.74387612965</v>
      </c>
      <c r="M13" s="647">
        <f>'IEPS INCREMENTO'!M15+'IEPS ESTIMACIONES'!M15</f>
        <v>112253.91997687193</v>
      </c>
      <c r="N13" s="647">
        <f>'IEPS INCREMENTO'!N15+'IEPS ESTIMACIONES'!N15</f>
        <v>113623.10499024708</v>
      </c>
      <c r="O13" s="648">
        <f t="shared" si="0"/>
        <v>1475003.7675000001</v>
      </c>
    </row>
    <row r="14" spans="1:15" ht="12.75" customHeight="1" x14ac:dyDescent="0.2">
      <c r="A14" s="645" t="s">
        <v>155</v>
      </c>
      <c r="B14" s="657"/>
      <c r="C14" s="647">
        <f>'IEPS INCREMENTO'!C16+'IEPS ESTIMACIONES'!C16</f>
        <v>160665.76238174568</v>
      </c>
      <c r="D14" s="647">
        <f>'IEPS INCREMENTO'!D16+'IEPS ESTIMACIONES'!D16</f>
        <v>312625.13352858357</v>
      </c>
      <c r="E14" s="647">
        <f>'IEPS INCREMENTO'!E16+'IEPS ESTIMACIONES'!E16</f>
        <v>160648.98385351431</v>
      </c>
      <c r="F14" s="647">
        <f>'IEPS INCREMENTO'!F16+'IEPS ESTIMACIONES'!F16</f>
        <v>161319.42847338246</v>
      </c>
      <c r="G14" s="647">
        <f>'IEPS INCREMENTO'!G16+'IEPS ESTIMACIONES'!G16</f>
        <v>170270.82829596003</v>
      </c>
      <c r="H14" s="647">
        <f>'IEPS INCREMENTO'!H16+'IEPS ESTIMACIONES'!H16</f>
        <v>179268.23295943567</v>
      </c>
      <c r="I14" s="647">
        <f>'IEPS INCREMENTO'!I16+'IEPS ESTIMACIONES'!I16</f>
        <v>185821.72017176123</v>
      </c>
      <c r="J14" s="647">
        <f>'IEPS INCREMENTO'!J16+'IEPS ESTIMACIONES'!J16</f>
        <v>197151.32058089713</v>
      </c>
      <c r="K14" s="647">
        <f>'IEPS INCREMENTO'!K16+'IEPS ESTIMACIONES'!K16</f>
        <v>198520.15603419743</v>
      </c>
      <c r="L14" s="647">
        <f>'IEPS INCREMENTO'!L16+'IEPS ESTIMACIONES'!L16</f>
        <v>185626.65417756804</v>
      </c>
      <c r="M14" s="647">
        <f>'IEPS INCREMENTO'!M16+'IEPS ESTIMACIONES'!M16</f>
        <v>176442.7638155215</v>
      </c>
      <c r="N14" s="647">
        <f>'IEPS INCREMENTO'!N16+'IEPS ESTIMACIONES'!N16</f>
        <v>178066.78322743322</v>
      </c>
      <c r="O14" s="648">
        <f t="shared" si="0"/>
        <v>2266427.7675000001</v>
      </c>
    </row>
    <row r="15" spans="1:15" ht="12.75" customHeight="1" x14ac:dyDescent="0.2">
      <c r="A15" s="645" t="s">
        <v>156</v>
      </c>
      <c r="B15" s="657"/>
      <c r="C15" s="647">
        <f>'IEPS INCREMENTO'!C17+'IEPS ESTIMACIONES'!C17</f>
        <v>104280.52555202141</v>
      </c>
      <c r="D15" s="647">
        <f>'IEPS INCREMENTO'!D17+'IEPS ESTIMACIONES'!D17</f>
        <v>226600.73780616396</v>
      </c>
      <c r="E15" s="647">
        <f>'IEPS INCREMENTO'!E17+'IEPS ESTIMACIONES'!E17</f>
        <v>101509.29814671825</v>
      </c>
      <c r="F15" s="647">
        <f>'IEPS INCREMENTO'!F17+'IEPS ESTIMACIONES'!F17</f>
        <v>94140.460700406358</v>
      </c>
      <c r="G15" s="647">
        <f>'IEPS INCREMENTO'!G17+'IEPS ESTIMACIONES'!G17</f>
        <v>106266.51980622078</v>
      </c>
      <c r="H15" s="647">
        <f>'IEPS INCREMENTO'!H17+'IEPS ESTIMACIONES'!H17</f>
        <v>112354.56539186253</v>
      </c>
      <c r="I15" s="647">
        <f>'IEPS INCREMENTO'!I17+'IEPS ESTIMACIONES'!I17</f>
        <v>117822.57500131984</v>
      </c>
      <c r="J15" s="647">
        <f>'IEPS INCREMENTO'!J17+'IEPS ESTIMACIONES'!J17</f>
        <v>126605.64061442878</v>
      </c>
      <c r="K15" s="647">
        <f>'IEPS INCREMENTO'!K17+'IEPS ESTIMACIONES'!K17</f>
        <v>130270.82301850434</v>
      </c>
      <c r="L15" s="647">
        <f>'IEPS INCREMENTO'!L17+'IEPS ESTIMACIONES'!L17</f>
        <v>118919.47965266969</v>
      </c>
      <c r="M15" s="647">
        <f>'IEPS INCREMENTO'!M17+'IEPS ESTIMACIONES'!M17</f>
        <v>111250.96929189304</v>
      </c>
      <c r="N15" s="647">
        <f>'IEPS INCREMENTO'!N17+'IEPS ESTIMACIONES'!N17</f>
        <v>112616.17251779106</v>
      </c>
      <c r="O15" s="648">
        <f t="shared" si="0"/>
        <v>1462637.7675000003</v>
      </c>
    </row>
    <row r="16" spans="1:15" ht="12.75" customHeight="1" x14ac:dyDescent="0.2">
      <c r="A16" s="645" t="s">
        <v>157</v>
      </c>
      <c r="B16" s="657"/>
      <c r="C16" s="647">
        <f>'IEPS INCREMENTO'!C18+'IEPS ESTIMACIONES'!C18</f>
        <v>93726.365837739693</v>
      </c>
      <c r="D16" s="647">
        <f>'IEPS INCREMENTO'!D18+'IEPS ESTIMACIONES'!D18</f>
        <v>210498.73552991619</v>
      </c>
      <c r="E16" s="647">
        <f>'IEPS INCREMENTO'!E18+'IEPS ESTIMACIONES'!E18</f>
        <v>90439.562104164128</v>
      </c>
      <c r="F16" s="647">
        <f>'IEPS INCREMENTO'!F18+'IEPS ESTIMACIONES'!F18</f>
        <v>81565.935963413402</v>
      </c>
      <c r="G16" s="647">
        <f>'IEPS INCREMENTO'!G18+'IEPS ESTIMACIONES'!G18</f>
        <v>94286.226165833694</v>
      </c>
      <c r="H16" s="647">
        <f>'IEPS INCREMENTO'!H18+'IEPS ESTIMACIONES'!H18</f>
        <v>99829.699411265523</v>
      </c>
      <c r="I16" s="647">
        <f>'IEPS INCREMENTO'!I18+'IEPS ESTIMACIONES'!I18</f>
        <v>105094.52987967312</v>
      </c>
      <c r="J16" s="647">
        <f>'IEPS INCREMENTO'!J18+'IEPS ESTIMACIONES'!J18</f>
        <v>113400.93641557702</v>
      </c>
      <c r="K16" s="647">
        <f>'IEPS INCREMENTO'!K18+'IEPS ESTIMACIONES'!K18</f>
        <v>117495.94786428486</v>
      </c>
      <c r="L16" s="647">
        <f>'IEPS INCREMENTO'!L18+'IEPS ESTIMACIONES'!L18</f>
        <v>106433.26493390666</v>
      </c>
      <c r="M16" s="647">
        <f>'IEPS INCREMENTO'!M18+'IEPS ESTIMACIONES'!M18</f>
        <v>99048.402624649752</v>
      </c>
      <c r="N16" s="647">
        <f>'IEPS INCREMENTO'!N18+'IEPS ESTIMACIONES'!N18</f>
        <v>100365.16076957597</v>
      </c>
      <c r="O16" s="648">
        <f t="shared" si="0"/>
        <v>1312184.7675000001</v>
      </c>
    </row>
    <row r="17" spans="1:15" ht="12.75" customHeight="1" x14ac:dyDescent="0.2">
      <c r="A17" s="645" t="s">
        <v>158</v>
      </c>
      <c r="B17" s="657"/>
      <c r="C17" s="647">
        <f>'IEPS INCREMENTO'!C19+'IEPS ESTIMACIONES'!C19</f>
        <v>75654.174546161405</v>
      </c>
      <c r="D17" s="647">
        <f>'IEPS INCREMENTO'!D19+'IEPS ESTIMACIONES'!D19</f>
        <v>182926.81382401247</v>
      </c>
      <c r="E17" s="647">
        <f>'IEPS INCREMENTO'!E19+'IEPS ESTIMACIONES'!E19</f>
        <v>71484.534634037176</v>
      </c>
      <c r="F17" s="647">
        <f>'IEPS INCREMENTO'!F19+'IEPS ESTIMACIONES'!F19</f>
        <v>60034.215523356957</v>
      </c>
      <c r="G17" s="647">
        <f>'IEPS INCREMENTO'!G19+'IEPS ESTIMACIONES'!G19</f>
        <v>73772.024726814692</v>
      </c>
      <c r="H17" s="647">
        <f>'IEPS INCREMENTO'!H19+'IEPS ESTIMACIONES'!H19</f>
        <v>78383.011088325409</v>
      </c>
      <c r="I17" s="647">
        <f>'IEPS INCREMENTO'!I19+'IEPS ESTIMACIONES'!I19</f>
        <v>83299.932068634225</v>
      </c>
      <c r="J17" s="647">
        <f>'IEPS INCREMENTO'!J19+'IEPS ESTIMACIONES'!J19</f>
        <v>90790.141554529459</v>
      </c>
      <c r="K17" s="647">
        <f>'IEPS INCREMENTO'!K19+'IEPS ESTIMACIONES'!K19</f>
        <v>95621.161641306302</v>
      </c>
      <c r="L17" s="647">
        <f>'IEPS INCREMENTO'!L19+'IEPS ESTIMACIONES'!L19</f>
        <v>85052.760278490518</v>
      </c>
      <c r="M17" s="647">
        <f>'IEPS INCREMENTO'!M19+'IEPS ESTIMACIONES'!M19</f>
        <v>78153.596687589365</v>
      </c>
      <c r="N17" s="647">
        <f>'IEPS INCREMENTO'!N19+'IEPS ESTIMACIONES'!N19</f>
        <v>79387.400926741946</v>
      </c>
      <c r="O17" s="648">
        <f t="shared" si="0"/>
        <v>1054559.7674999998</v>
      </c>
    </row>
    <row r="18" spans="1:15" ht="12.75" customHeight="1" x14ac:dyDescent="0.2">
      <c r="A18" s="645" t="s">
        <v>285</v>
      </c>
      <c r="B18" s="657"/>
      <c r="C18" s="647">
        <f>'IEPS INCREMENTO'!C20+'IEPS ESTIMACIONES'!C20</f>
        <v>128569.55064790262</v>
      </c>
      <c r="D18" s="647">
        <f>'IEPS INCREMENTO'!D20+'IEPS ESTIMACIONES'!D20</f>
        <v>263657.40057889861</v>
      </c>
      <c r="E18" s="647">
        <f>'IEPS INCREMENTO'!E20+'IEPS ESTIMACIONES'!E20</f>
        <v>126984.85506656887</v>
      </c>
      <c r="F18" s="647">
        <f>'IEPS INCREMENTO'!F20+'IEPS ESTIMACIONES'!F20</f>
        <v>123079.09297184223</v>
      </c>
      <c r="G18" s="647">
        <f>'IEPS INCREMENTO'!G20+'IEPS ESTIMACIONES'!G20</f>
        <v>133837.60654026229</v>
      </c>
      <c r="H18" s="647">
        <f>'IEPS INCREMENTO'!H20+'IEPS ESTIMACIONES'!H20</f>
        <v>141178.91449789406</v>
      </c>
      <c r="I18" s="647">
        <f>'IEPS INCREMENTO'!I20+'IEPS ESTIMACIONES'!I20</f>
        <v>147114.51445935614</v>
      </c>
      <c r="J18" s="647">
        <f>'IEPS INCREMENTO'!J20+'IEPS ESTIMACIONES'!J20</f>
        <v>156994.54890767671</v>
      </c>
      <c r="K18" s="647">
        <f>'IEPS INCREMENTO'!K20+'IEPS ESTIMACIONES'!K20</f>
        <v>159670.53570218754</v>
      </c>
      <c r="L18" s="647">
        <f>'IEPS INCREMENTO'!L20+'IEPS ESTIMACIONES'!L20</f>
        <v>147654.87790954899</v>
      </c>
      <c r="M18" s="647">
        <f>'IEPS INCREMENTO'!M20+'IEPS ESTIMACIONES'!M20</f>
        <v>139333.58847130221</v>
      </c>
      <c r="N18" s="647">
        <f>'IEPS INCREMENTO'!N20+'IEPS ESTIMACIONES'!N20</f>
        <v>140810.28174655998</v>
      </c>
      <c r="O18" s="648">
        <f t="shared" si="0"/>
        <v>1808885.7675000005</v>
      </c>
    </row>
    <row r="19" spans="1:15" ht="12.75" customHeight="1" x14ac:dyDescent="0.2">
      <c r="A19" s="645" t="s">
        <v>286</v>
      </c>
      <c r="B19" s="657"/>
      <c r="C19" s="647">
        <f>'IEPS INCREMENTO'!C21+'IEPS ESTIMACIONES'!C21</f>
        <v>105147.99073401716</v>
      </c>
      <c r="D19" s="647">
        <f>'IEPS INCREMENTO'!D21+'IEPS ESTIMACIONES'!D21</f>
        <v>227924.19004804734</v>
      </c>
      <c r="E19" s="647">
        <f>'IEPS INCREMENTO'!E21+'IEPS ESTIMACIONES'!E21</f>
        <v>102419.13946528434</v>
      </c>
      <c r="F19" s="647">
        <f>'IEPS INCREMENTO'!F21+'IEPS ESTIMACIONES'!F21</f>
        <v>95173.983281529057</v>
      </c>
      <c r="G19" s="647">
        <f>'IEPS INCREMENTO'!G21+'IEPS ESTIMACIONES'!G21</f>
        <v>107251.2014752937</v>
      </c>
      <c r="H19" s="647">
        <f>'IEPS INCREMENTO'!H21+'IEPS ESTIMACIONES'!H21</f>
        <v>113384.00643136367</v>
      </c>
      <c r="I19" s="647">
        <f>'IEPS INCREMENTO'!I21+'IEPS ESTIMACIONES'!I21</f>
        <v>118868.71569624971</v>
      </c>
      <c r="J19" s="647">
        <f>'IEPS INCREMENTO'!J21+'IEPS ESTIMACIONES'!J21</f>
        <v>127690.95876775906</v>
      </c>
      <c r="K19" s="647">
        <f>'IEPS INCREMENTO'!K21+'IEPS ESTIMACIONES'!K21</f>
        <v>131320.81275720731</v>
      </c>
      <c r="L19" s="647">
        <f>'IEPS INCREMENTO'!L21+'IEPS ESTIMACIONES'!L21</f>
        <v>119945.74387612965</v>
      </c>
      <c r="M19" s="647">
        <f>'IEPS INCREMENTO'!M21+'IEPS ESTIMACIONES'!M21</f>
        <v>112253.91997687193</v>
      </c>
      <c r="N19" s="647">
        <f>'IEPS INCREMENTO'!N21+'IEPS ESTIMACIONES'!N21</f>
        <v>113623.10499024708</v>
      </c>
      <c r="O19" s="648">
        <f t="shared" si="0"/>
        <v>1475003.7675000001</v>
      </c>
    </row>
    <row r="20" spans="1:15" ht="12.75" customHeight="1" x14ac:dyDescent="0.2">
      <c r="A20" s="645" t="s">
        <v>287</v>
      </c>
      <c r="B20" s="657"/>
      <c r="C20" s="647">
        <f>'IEPS INCREMENTO'!C22+'IEPS ESTIMACIONES'!C22</f>
        <v>56280.785481589483</v>
      </c>
      <c r="D20" s="647">
        <f>'IEPS INCREMENTO'!D22+'IEPS ESTIMACIONES'!D22</f>
        <v>153369.71375528368</v>
      </c>
      <c r="E20" s="647">
        <f>'IEPS INCREMENTO'!E22+'IEPS ESTIMACIONES'!E22</f>
        <v>51164.745186061111</v>
      </c>
      <c r="F20" s="647">
        <f>'IEPS INCREMENTO'!F22+'IEPS ESTIMACIONES'!F22</f>
        <v>36952.211211616457</v>
      </c>
      <c r="G20" s="647">
        <f>'IEPS INCREMENTO'!G22+'IEPS ESTIMACIONES'!G22</f>
        <v>51780.800784186329</v>
      </c>
      <c r="H20" s="647">
        <f>'IEPS INCREMENTO'!H22+'IEPS ESTIMACIONES'!H22</f>
        <v>55392.161206133613</v>
      </c>
      <c r="I20" s="647">
        <f>'IEPS INCREMENTO'!I22+'IEPS ESTIMACIONES'!I22</f>
        <v>59936.12321520051</v>
      </c>
      <c r="J20" s="647">
        <f>'IEPS INCREMENTO'!J22+'IEPS ESTIMACIONES'!J22</f>
        <v>66551.369463486495</v>
      </c>
      <c r="K20" s="647">
        <f>'IEPS INCREMENTO'!K22+'IEPS ESTIMACIONES'!K22</f>
        <v>72171.390810273297</v>
      </c>
      <c r="L20" s="647">
        <f>'IEPS INCREMENTO'!L22+'IEPS ESTIMACIONES'!L22</f>
        <v>62132.859287884407</v>
      </c>
      <c r="M20" s="647">
        <f>'IEPS INCREMENTO'!M22+'IEPS ESTIMACIONES'!M22</f>
        <v>55754.364723060615</v>
      </c>
      <c r="N20" s="647">
        <f>'IEPS INCREMENTO'!N22+'IEPS ESTIMACIONES'!N22</f>
        <v>56899.242375223883</v>
      </c>
      <c r="O20" s="648">
        <f t="shared" si="0"/>
        <v>778385.76749999984</v>
      </c>
    </row>
    <row r="21" spans="1:15" ht="12.75" customHeight="1" x14ac:dyDescent="0.2">
      <c r="A21" s="645" t="s">
        <v>162</v>
      </c>
      <c r="B21" s="657"/>
      <c r="C21" s="647">
        <f>'IEPS INCREMENTO'!C23+'IEPS ESTIMACIONES'!C23</f>
        <v>90690.237700754544</v>
      </c>
      <c r="D21" s="647">
        <f>'IEPS INCREMENTO'!D23+'IEPS ESTIMACIONES'!D23</f>
        <v>205866.65268332436</v>
      </c>
      <c r="E21" s="647">
        <f>'IEPS INCREMENTO'!E23+'IEPS ESTIMACIONES'!E23</f>
        <v>87255.117489182798</v>
      </c>
      <c r="F21" s="647">
        <f>'IEPS INCREMENTO'!F23+'IEPS ESTIMACIONES'!F23</f>
        <v>77948.606929483925</v>
      </c>
      <c r="G21" s="647">
        <f>'IEPS INCREMENTO'!G23+'IEPS ESTIMACIONES'!G23</f>
        <v>90839.840324078497</v>
      </c>
      <c r="H21" s="647">
        <f>'IEPS INCREMENTO'!H23+'IEPS ESTIMACIONES'!H23</f>
        <v>96226.655773011589</v>
      </c>
      <c r="I21" s="647">
        <f>'IEPS INCREMENTO'!I23+'IEPS ESTIMACIONES'!I23</f>
        <v>101433.0374474186</v>
      </c>
      <c r="J21" s="647">
        <f>'IEPS INCREMENTO'!J23+'IEPS ESTIMACIONES'!J23</f>
        <v>109602.32287892103</v>
      </c>
      <c r="K21" s="647">
        <f>'IEPS INCREMENTO'!K23+'IEPS ESTIMACIONES'!K23</f>
        <v>113820.98377882448</v>
      </c>
      <c r="L21" s="647">
        <f>'IEPS INCREMENTO'!L23+'IEPS ESTIMACIONES'!L23</f>
        <v>102841.34015179674</v>
      </c>
      <c r="M21" s="647">
        <f>'IEPS INCREMENTO'!M23+'IEPS ESTIMACIONES'!M23</f>
        <v>95538.075227223628</v>
      </c>
      <c r="N21" s="647">
        <f>'IEPS INCREMENTO'!N23+'IEPS ESTIMACIONES'!N23</f>
        <v>96840.897115979868</v>
      </c>
      <c r="O21" s="648">
        <f t="shared" si="0"/>
        <v>1268903.7674999998</v>
      </c>
    </row>
    <row r="22" spans="1:15" ht="12.75" customHeight="1" x14ac:dyDescent="0.2">
      <c r="A22" s="645" t="s">
        <v>163</v>
      </c>
      <c r="B22" s="657"/>
      <c r="C22" s="647">
        <f>'IEPS INCREMENTO'!C24+'IEPS ESTIMACIONES'!C24</f>
        <v>37051.97394735019</v>
      </c>
      <c r="D22" s="647">
        <f>'IEPS INCREMENTO'!D24+'IEPS ESTIMACIONES'!D24</f>
        <v>124033.18906020212</v>
      </c>
      <c r="E22" s="647">
        <f>'IEPS INCREMENTO'!E24+'IEPS ESTIMACIONES'!E24</f>
        <v>30996.59595784605</v>
      </c>
      <c r="F22" s="647">
        <f>'IEPS INCREMENTO'!F24+'IEPS ESTIMACIONES'!F24</f>
        <v>14042.460663396403</v>
      </c>
      <c r="G22" s="647">
        <f>'IEPS INCREMENTO'!G24+'IEPS ESTIMACIONES'!G24</f>
        <v>29953.690453070121</v>
      </c>
      <c r="H22" s="647">
        <f>'IEPS INCREMENTO'!H24+'IEPS ESTIMACIONES'!H24</f>
        <v>32572.884830525334</v>
      </c>
      <c r="I22" s="647">
        <f>'IEPS INCREMENTO'!I24+'IEPS ESTIMACIONES'!I24</f>
        <v>36746.671144255117</v>
      </c>
      <c r="J22" s="647">
        <f>'IEPS INCREMENTO'!J24+'IEPS ESTIMACIONES'!J24</f>
        <v>42493.4837313319</v>
      </c>
      <c r="K22" s="647">
        <f>'IEPS INCREMENTO'!K24+'IEPS ESTIMACIONES'!K24</f>
        <v>48896.618269024111</v>
      </c>
      <c r="L22" s="647">
        <f>'IEPS INCREMENTO'!L24+'IEPS ESTIMACIONES'!L24</f>
        <v>39384.002334521625</v>
      </c>
      <c r="M22" s="647">
        <f>'IEPS INCREMENTO'!M24+'IEPS ESTIMACIONES'!M24</f>
        <v>33522.291206028349</v>
      </c>
      <c r="N22" s="647">
        <f>'IEPS INCREMENTO'!N24+'IEPS ESTIMACIONES'!N24</f>
        <v>34578.905902448474</v>
      </c>
      <c r="O22" s="648">
        <f t="shared" si="0"/>
        <v>504272.76749999984</v>
      </c>
    </row>
    <row r="23" spans="1:15" ht="12.75" customHeight="1" x14ac:dyDescent="0.2">
      <c r="A23" s="645" t="s">
        <v>164</v>
      </c>
      <c r="B23" s="657"/>
      <c r="C23" s="647">
        <f>'IEPS INCREMENTO'!C25+'IEPS ESTIMACIONES'!C25</f>
        <v>86208.334260443124</v>
      </c>
      <c r="D23" s="647">
        <f>'IEPS INCREMENTO'!D25+'IEPS ESTIMACIONES'!D25</f>
        <v>199028.81610026024</v>
      </c>
      <c r="E23" s="647">
        <f>'IEPS INCREMENTO'!E25+'IEPS ESTIMACIONES'!E25</f>
        <v>82554.270676591317</v>
      </c>
      <c r="F23" s="647">
        <f>'IEPS INCREMENTO'!F25+'IEPS ESTIMACIONES'!F25</f>
        <v>72608.740260349907</v>
      </c>
      <c r="G23" s="647">
        <f>'IEPS INCREMENTO'!G25+'IEPS ESTIMACIONES'!G25</f>
        <v>85752.318367201777</v>
      </c>
      <c r="H23" s="647">
        <f>'IEPS INCREMENTO'!H25+'IEPS ESTIMACIONES'!H25</f>
        <v>90907.877068922418</v>
      </c>
      <c r="I23" s="647">
        <f>'IEPS INCREMENTO'!I25+'IEPS ESTIMACIONES'!I25</f>
        <v>96027.97719028093</v>
      </c>
      <c r="J23" s="647">
        <f>'IEPS INCREMENTO'!J25+'IEPS ESTIMACIONES'!J25</f>
        <v>103994.84575338122</v>
      </c>
      <c r="K23" s="647">
        <f>'IEPS INCREMENTO'!K25+'IEPS ESTIMACIONES'!K25</f>
        <v>108396.03679552578</v>
      </c>
      <c r="L23" s="647">
        <f>'IEPS INCREMENTO'!L25+'IEPS ESTIMACIONES'!L25</f>
        <v>97538.974997253536</v>
      </c>
      <c r="M23" s="647">
        <f>'IEPS INCREMENTO'!M25+'IEPS ESTIMACIONES'!M25</f>
        <v>90356.163354832621</v>
      </c>
      <c r="N23" s="647">
        <f>'IEPS INCREMENTO'!N25+'IEPS ESTIMACIONES'!N25</f>
        <v>91638.412674957013</v>
      </c>
      <c r="O23" s="648">
        <f t="shared" si="0"/>
        <v>1205012.7674999998</v>
      </c>
    </row>
    <row r="24" spans="1:15" ht="12.75" customHeight="1" thickBot="1" x14ac:dyDescent="0.25">
      <c r="A24" s="645" t="s">
        <v>165</v>
      </c>
      <c r="B24" s="658"/>
      <c r="C24" s="647">
        <f>'IEPS INCREMENTO'!C26+'IEPS ESTIMACIONES'!C26</f>
        <v>98208.269278051099</v>
      </c>
      <c r="D24" s="647">
        <f>'IEPS INCREMENTO'!D26+'IEPS ESTIMACIONES'!D26</f>
        <v>217336.5721129803</v>
      </c>
      <c r="E24" s="647">
        <f>'IEPS INCREMENTO'!E26+'IEPS ESTIMACIONES'!E26</f>
        <v>95140.408916755609</v>
      </c>
      <c r="F24" s="647">
        <f>'IEPS INCREMENTO'!F26+'IEPS ESTIMACIONES'!F26</f>
        <v>86905.802632547391</v>
      </c>
      <c r="G24" s="647">
        <f>'IEPS INCREMENTO'!G26+'IEPS ESTIMACIONES'!G26</f>
        <v>99373.7481227104</v>
      </c>
      <c r="H24" s="647">
        <f>'IEPS INCREMENTO'!H26+'IEPS ESTIMACIONES'!H26</f>
        <v>105148.47811535466</v>
      </c>
      <c r="I24" s="647">
        <f>'IEPS INCREMENTO'!I26+'IEPS ESTIMACIONES'!I26</f>
        <v>110499.59013681077</v>
      </c>
      <c r="J24" s="647">
        <f>'IEPS INCREMENTO'!J26+'IEPS ESTIMACIONES'!J26</f>
        <v>119008.4135411168</v>
      </c>
      <c r="K24" s="647">
        <f>'IEPS INCREMENTO'!K26+'IEPS ESTIMACIONES'!K26</f>
        <v>122920.89484758355</v>
      </c>
      <c r="L24" s="647">
        <f>'IEPS INCREMENTO'!L26+'IEPS ESTIMACIONES'!L26</f>
        <v>111735.63008844986</v>
      </c>
      <c r="M24" s="647">
        <f>'IEPS INCREMENTO'!M26+'IEPS ESTIMACIONES'!M26</f>
        <v>104230.31449704073</v>
      </c>
      <c r="N24" s="647">
        <f>'IEPS INCREMENTO'!N26+'IEPS ESTIMACIONES'!N26</f>
        <v>105567.64521059881</v>
      </c>
      <c r="O24" s="648">
        <f t="shared" si="0"/>
        <v>1376075.7675000001</v>
      </c>
    </row>
    <row r="25" spans="1:15" ht="13.5" thickBot="1" x14ac:dyDescent="0.25">
      <c r="A25" s="650" t="s">
        <v>288</v>
      </c>
      <c r="B25" s="651">
        <f>SUM(B5:B24)</f>
        <v>0</v>
      </c>
      <c r="C25" s="652">
        <f>SUM(C5:C24)</f>
        <v>2079827.4098271234</v>
      </c>
      <c r="D25" s="652">
        <f t="shared" ref="D25:O25" si="1">SUM(D5:D24)</f>
        <v>4523191.7411773903</v>
      </c>
      <c r="E25" s="652">
        <f t="shared" si="1"/>
        <v>2024120.3541439245</v>
      </c>
      <c r="F25" s="652">
        <f t="shared" si="1"/>
        <v>1875919.0634673091</v>
      </c>
      <c r="G25" s="652">
        <f t="shared" si="1"/>
        <v>2118765.8516639289</v>
      </c>
      <c r="H25" s="652">
        <f t="shared" si="1"/>
        <v>2240228.3675739104</v>
      </c>
      <c r="I25" s="652">
        <f t="shared" si="1"/>
        <v>2349477.2287268643</v>
      </c>
      <c r="J25" s="652">
        <f t="shared" si="1"/>
        <v>2524877.3579330402</v>
      </c>
      <c r="K25" s="652">
        <f t="shared" si="1"/>
        <v>2598416.5287787337</v>
      </c>
      <c r="L25" s="652">
        <f t="shared" si="1"/>
        <v>2371547.8315636604</v>
      </c>
      <c r="M25" s="652">
        <f t="shared" si="1"/>
        <v>2218333.0479380009</v>
      </c>
      <c r="N25" s="652">
        <f t="shared" si="1"/>
        <v>2245610.5672061145</v>
      </c>
      <c r="O25" s="652">
        <f t="shared" si="1"/>
        <v>29170315.349999994</v>
      </c>
    </row>
    <row r="26" spans="1:15" hidden="1" x14ac:dyDescent="0.2">
      <c r="A26" s="661" t="s">
        <v>349</v>
      </c>
      <c r="B26" s="661"/>
      <c r="C26" s="662">
        <f>'[3]PRESUPUSTO ESTATAL 2017'!B52</f>
        <v>1521250.4468291907</v>
      </c>
      <c r="D26" s="662">
        <f>'[3]PRESUPUSTO ESTATAL 2017'!C52</f>
        <v>1992155.4322061262</v>
      </c>
      <c r="E26" s="662">
        <f>'[3]PRESUPUSTO ESTATAL 2017'!D52</f>
        <v>1561223.5204092669</v>
      </c>
      <c r="F26" s="662">
        <f>'[3]PRESUPUSTO ESTATAL 2017'!E52</f>
        <v>1709133.4840227321</v>
      </c>
      <c r="G26" s="662">
        <f>'[3]PRESUPUSTO ESTATAL 2017'!F52</f>
        <v>1794276.5472658337</v>
      </c>
      <c r="H26" s="662">
        <f>'[3]PRESUPUSTO ESTATAL 2017'!G52</f>
        <v>1664193.9164477964</v>
      </c>
      <c r="I26" s="662">
        <f>'[3]PRESUPUSTO ESTATAL 2017'!H52</f>
        <v>1722567.8942233375</v>
      </c>
      <c r="J26" s="662">
        <f>'[3]PRESUPUSTO ESTATAL 2017'!I52</f>
        <v>1774773.0179705636</v>
      </c>
      <c r="K26" s="662">
        <f>'[3]PRESUPUSTO ESTATAL 2017'!J52</f>
        <v>1814273.0193366187</v>
      </c>
      <c r="L26" s="662">
        <f>'[3]PRESUPUSTO ESTATAL 2017'!K52</f>
        <v>1772942.0603667807</v>
      </c>
      <c r="M26" s="662">
        <f>'[3]PRESUPUSTO ESTATAL 2017'!L52</f>
        <v>1696337.0334839264</v>
      </c>
      <c r="N26" s="662">
        <f>'[3]PRESUPUSTO ESTATAL 2017'!M52</f>
        <v>1676873.6274378267</v>
      </c>
      <c r="O26" s="662">
        <f>SUM(C26:N26)</f>
        <v>20700000</v>
      </c>
    </row>
    <row r="27" spans="1:15" hidden="1" x14ac:dyDescent="0.2">
      <c r="A27" s="663" t="s">
        <v>350</v>
      </c>
      <c r="B27" s="663"/>
      <c r="C27" s="664">
        <f>C26-C25</f>
        <v>-558576.96299793269</v>
      </c>
      <c r="D27" s="664">
        <f t="shared" ref="D27:O27" si="2">D26-D25</f>
        <v>-2531036.3089712644</v>
      </c>
      <c r="E27" s="664">
        <f t="shared" si="2"/>
        <v>-462896.83373465762</v>
      </c>
      <c r="F27" s="664">
        <f t="shared" si="2"/>
        <v>-166785.57944457699</v>
      </c>
      <c r="G27" s="664">
        <f t="shared" si="2"/>
        <v>-324489.30439809524</v>
      </c>
      <c r="H27" s="664">
        <f t="shared" si="2"/>
        <v>-576034.451126114</v>
      </c>
      <c r="I27" s="664">
        <f t="shared" si="2"/>
        <v>-626909.3345035268</v>
      </c>
      <c r="J27" s="664">
        <f t="shared" si="2"/>
        <v>-750104.33996247663</v>
      </c>
      <c r="K27" s="664">
        <f t="shared" si="2"/>
        <v>-784143.50944211497</v>
      </c>
      <c r="L27" s="664">
        <f t="shared" si="2"/>
        <v>-598605.77119687968</v>
      </c>
      <c r="M27" s="664">
        <f t="shared" si="2"/>
        <v>-521996.01445407444</v>
      </c>
      <c r="N27" s="664">
        <f t="shared" si="2"/>
        <v>-568736.93976828782</v>
      </c>
      <c r="O27" s="664">
        <f t="shared" si="2"/>
        <v>-8470315.349999994</v>
      </c>
    </row>
    <row r="28" spans="1:15" x14ac:dyDescent="0.2">
      <c r="A28" s="654" t="s">
        <v>289</v>
      </c>
    </row>
    <row r="29" spans="1:15" x14ac:dyDescent="0.2">
      <c r="A29" s="654"/>
    </row>
    <row r="32" spans="1:15" x14ac:dyDescent="0.2">
      <c r="C32" s="649"/>
      <c r="D32" s="649"/>
      <c r="E32" s="649"/>
      <c r="F32" s="649"/>
      <c r="G32" s="649"/>
      <c r="H32" s="649"/>
      <c r="I32" s="649"/>
      <c r="J32" s="649"/>
      <c r="K32" s="649"/>
      <c r="L32" s="649"/>
      <c r="M32" s="649"/>
      <c r="N32" s="649"/>
      <c r="O32" s="649"/>
    </row>
    <row r="36" spans="11:11" x14ac:dyDescent="0.2">
      <c r="K36" s="649"/>
    </row>
  </sheetData>
  <mergeCells count="2">
    <mergeCell ref="A1:O1"/>
    <mergeCell ref="A2:O2"/>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5" tint="0.59999389629810485"/>
  </sheetPr>
  <dimension ref="A1:P34"/>
  <sheetViews>
    <sheetView workbookViewId="0">
      <selection activeCell="C7" sqref="C7"/>
    </sheetView>
  </sheetViews>
  <sheetFormatPr baseColWidth="10" defaultRowHeight="12.75" x14ac:dyDescent="0.2"/>
  <cols>
    <col min="1" max="1" width="16" style="640" customWidth="1"/>
    <col min="2" max="2" width="9.42578125" style="640" bestFit="1" customWidth="1"/>
    <col min="3" max="14" width="12.7109375" style="640" bestFit="1" customWidth="1"/>
    <col min="15" max="15" width="14" style="640" bestFit="1" customWidth="1"/>
    <col min="16" max="16" width="13.7109375" style="640" bestFit="1" customWidth="1"/>
    <col min="17" max="16384" width="11.42578125" style="640"/>
  </cols>
  <sheetData>
    <row r="1" spans="1:15" ht="15.75" x14ac:dyDescent="0.25">
      <c r="A1" s="1235" t="s">
        <v>277</v>
      </c>
      <c r="B1" s="1235"/>
      <c r="C1" s="1235"/>
      <c r="D1" s="1235"/>
      <c r="E1" s="1235"/>
      <c r="F1" s="1235"/>
      <c r="G1" s="1235"/>
      <c r="H1" s="1235"/>
      <c r="I1" s="1235"/>
      <c r="J1" s="1235"/>
      <c r="K1" s="1235"/>
      <c r="L1" s="1235"/>
      <c r="M1" s="1235"/>
      <c r="N1" s="1235"/>
      <c r="O1" s="1235"/>
    </row>
    <row r="2" spans="1:15" x14ac:dyDescent="0.2">
      <c r="A2" s="1236" t="s">
        <v>278</v>
      </c>
      <c r="B2" s="1236"/>
      <c r="C2" s="1236"/>
      <c r="D2" s="1236"/>
      <c r="E2" s="1236"/>
      <c r="F2" s="1236"/>
      <c r="G2" s="1236"/>
      <c r="H2" s="1236"/>
      <c r="I2" s="1236"/>
      <c r="J2" s="1236"/>
      <c r="K2" s="1236"/>
      <c r="L2" s="1236"/>
      <c r="M2" s="1236"/>
      <c r="N2" s="1236"/>
      <c r="O2" s="1236"/>
    </row>
    <row r="3" spans="1:15" x14ac:dyDescent="0.2">
      <c r="A3" s="1236" t="s">
        <v>279</v>
      </c>
      <c r="B3" s="1236"/>
      <c r="C3" s="1236"/>
      <c r="D3" s="1236"/>
      <c r="E3" s="1236"/>
      <c r="F3" s="1236"/>
      <c r="G3" s="1236"/>
      <c r="H3" s="1236"/>
      <c r="I3" s="1236"/>
      <c r="J3" s="1236"/>
      <c r="K3" s="1236"/>
      <c r="L3" s="1236"/>
      <c r="M3" s="1236"/>
      <c r="N3" s="1236"/>
      <c r="O3" s="1236"/>
    </row>
    <row r="4" spans="1:15" x14ac:dyDescent="0.2">
      <c r="A4" s="1237" t="s">
        <v>360</v>
      </c>
      <c r="B4" s="1237"/>
      <c r="C4" s="1237"/>
      <c r="D4" s="1237"/>
      <c r="E4" s="1237"/>
      <c r="F4" s="1237"/>
      <c r="G4" s="1237"/>
      <c r="H4" s="1237"/>
      <c r="I4" s="1237"/>
      <c r="J4" s="1237"/>
      <c r="K4" s="1237"/>
      <c r="L4" s="1237"/>
      <c r="M4" s="1237"/>
      <c r="N4" s="1237"/>
      <c r="O4" s="1237"/>
    </row>
    <row r="5" spans="1:15" ht="13.5" thickBot="1" x14ac:dyDescent="0.25"/>
    <row r="6" spans="1:15" ht="23.25" thickBot="1" x14ac:dyDescent="0.25">
      <c r="A6" s="641" t="s">
        <v>346</v>
      </c>
      <c r="B6" s="642" t="s">
        <v>281</v>
      </c>
      <c r="C6" s="641" t="s">
        <v>1</v>
      </c>
      <c r="D6" s="643" t="s">
        <v>2</v>
      </c>
      <c r="E6" s="641" t="s">
        <v>3</v>
      </c>
      <c r="F6" s="643" t="s">
        <v>4</v>
      </c>
      <c r="G6" s="641" t="s">
        <v>5</v>
      </c>
      <c r="H6" s="641" t="s">
        <v>6</v>
      </c>
      <c r="I6" s="641" t="s">
        <v>7</v>
      </c>
      <c r="J6" s="643" t="s">
        <v>8</v>
      </c>
      <c r="K6" s="641" t="s">
        <v>9</v>
      </c>
      <c r="L6" s="643" t="s">
        <v>10</v>
      </c>
      <c r="M6" s="641" t="s">
        <v>11</v>
      </c>
      <c r="N6" s="641" t="s">
        <v>12</v>
      </c>
      <c r="O6" s="644" t="s">
        <v>168</v>
      </c>
    </row>
    <row r="7" spans="1:15" x14ac:dyDescent="0.2">
      <c r="A7" s="645" t="s">
        <v>282</v>
      </c>
      <c r="B7" s="682">
        <f>FFM!N8</f>
        <v>0</v>
      </c>
      <c r="C7" s="672">
        <f t="shared" ref="C7:C26" si="0">$C$31*B7/100</f>
        <v>0</v>
      </c>
      <c r="D7" s="673">
        <f t="shared" ref="D7:D11" si="1">$D$32*B7/100</f>
        <v>0</v>
      </c>
      <c r="E7" s="672">
        <f t="shared" ref="E7:E11" si="2">$E$32*B7/100</f>
        <v>0</v>
      </c>
      <c r="F7" s="673">
        <f t="shared" ref="F7:F11" si="3">$F$32*B7/100</f>
        <v>0</v>
      </c>
      <c r="G7" s="672">
        <f t="shared" ref="G7:G11" si="4">$G$32*B7/100</f>
        <v>0</v>
      </c>
      <c r="H7" s="672">
        <f t="shared" ref="H7:H11" si="5">$H$32*B7/100</f>
        <v>0</v>
      </c>
      <c r="I7" s="672">
        <f t="shared" ref="I7:I11" si="6">$I$32*B7/100</f>
        <v>0</v>
      </c>
      <c r="J7" s="673">
        <f t="shared" ref="J7:J11" si="7">$J$32*B7/100</f>
        <v>0</v>
      </c>
      <c r="K7" s="672">
        <f t="shared" ref="K7:K11" si="8">$K$32*B7/100</f>
        <v>0</v>
      </c>
      <c r="L7" s="673">
        <f t="shared" ref="L7:L11" si="9">$L$32*B7/100</f>
        <v>0</v>
      </c>
      <c r="M7" s="672">
        <f t="shared" ref="M7:M11" si="10">$M$32*B7/100</f>
        <v>0</v>
      </c>
      <c r="N7" s="672">
        <f t="shared" ref="N7:N11" si="11">$N$32*B7/100</f>
        <v>0</v>
      </c>
      <c r="O7" s="675">
        <f t="shared" ref="O7:O27" si="12">SUM(C7:N7)</f>
        <v>0</v>
      </c>
    </row>
    <row r="8" spans="1:15" x14ac:dyDescent="0.2">
      <c r="A8" s="645" t="s">
        <v>147</v>
      </c>
      <c r="B8" s="682">
        <f>FFM!N9</f>
        <v>0</v>
      </c>
      <c r="C8" s="672">
        <f t="shared" si="0"/>
        <v>0</v>
      </c>
      <c r="D8" s="673">
        <f t="shared" si="1"/>
        <v>0</v>
      </c>
      <c r="E8" s="672">
        <f t="shared" si="2"/>
        <v>0</v>
      </c>
      <c r="F8" s="673">
        <f t="shared" si="3"/>
        <v>0</v>
      </c>
      <c r="G8" s="672">
        <f t="shared" si="4"/>
        <v>0</v>
      </c>
      <c r="H8" s="672">
        <f t="shared" si="5"/>
        <v>0</v>
      </c>
      <c r="I8" s="672">
        <f t="shared" si="6"/>
        <v>0</v>
      </c>
      <c r="J8" s="673">
        <f t="shared" si="7"/>
        <v>0</v>
      </c>
      <c r="K8" s="672">
        <f t="shared" si="8"/>
        <v>0</v>
      </c>
      <c r="L8" s="673">
        <f t="shared" si="9"/>
        <v>0</v>
      </c>
      <c r="M8" s="672">
        <f t="shared" si="10"/>
        <v>0</v>
      </c>
      <c r="N8" s="672">
        <f t="shared" si="11"/>
        <v>0</v>
      </c>
      <c r="O8" s="675">
        <f t="shared" si="12"/>
        <v>0</v>
      </c>
    </row>
    <row r="9" spans="1:15" x14ac:dyDescent="0.2">
      <c r="A9" s="645" t="s">
        <v>148</v>
      </c>
      <c r="B9" s="682">
        <f>FFM!N10</f>
        <v>0</v>
      </c>
      <c r="C9" s="672">
        <f t="shared" si="0"/>
        <v>0</v>
      </c>
      <c r="D9" s="673">
        <f t="shared" si="1"/>
        <v>0</v>
      </c>
      <c r="E9" s="672">
        <f t="shared" si="2"/>
        <v>0</v>
      </c>
      <c r="F9" s="673">
        <f t="shared" si="3"/>
        <v>0</v>
      </c>
      <c r="G9" s="672">
        <f t="shared" si="4"/>
        <v>0</v>
      </c>
      <c r="H9" s="672">
        <f t="shared" si="5"/>
        <v>0</v>
      </c>
      <c r="I9" s="672">
        <f t="shared" si="6"/>
        <v>0</v>
      </c>
      <c r="J9" s="673">
        <f t="shared" si="7"/>
        <v>0</v>
      </c>
      <c r="K9" s="672">
        <f t="shared" si="8"/>
        <v>0</v>
      </c>
      <c r="L9" s="673">
        <f t="shared" si="9"/>
        <v>0</v>
      </c>
      <c r="M9" s="672">
        <f t="shared" si="10"/>
        <v>0</v>
      </c>
      <c r="N9" s="672">
        <f t="shared" si="11"/>
        <v>0</v>
      </c>
      <c r="O9" s="675">
        <f t="shared" si="12"/>
        <v>0</v>
      </c>
    </row>
    <row r="10" spans="1:15" x14ac:dyDescent="0.2">
      <c r="A10" s="645" t="s">
        <v>283</v>
      </c>
      <c r="B10" s="682">
        <f>FFM!N11</f>
        <v>0</v>
      </c>
      <c r="C10" s="672">
        <f t="shared" si="0"/>
        <v>0</v>
      </c>
      <c r="D10" s="673">
        <f t="shared" si="1"/>
        <v>0</v>
      </c>
      <c r="E10" s="672">
        <f t="shared" si="2"/>
        <v>0</v>
      </c>
      <c r="F10" s="673">
        <f t="shared" si="3"/>
        <v>0</v>
      </c>
      <c r="G10" s="672">
        <f t="shared" si="4"/>
        <v>0</v>
      </c>
      <c r="H10" s="672">
        <f t="shared" si="5"/>
        <v>0</v>
      </c>
      <c r="I10" s="672">
        <f t="shared" si="6"/>
        <v>0</v>
      </c>
      <c r="J10" s="673">
        <f t="shared" si="7"/>
        <v>0</v>
      </c>
      <c r="K10" s="672">
        <f t="shared" si="8"/>
        <v>0</v>
      </c>
      <c r="L10" s="673">
        <f t="shared" si="9"/>
        <v>0</v>
      </c>
      <c r="M10" s="672">
        <f t="shared" si="10"/>
        <v>0</v>
      </c>
      <c r="N10" s="672">
        <f t="shared" si="11"/>
        <v>0</v>
      </c>
      <c r="O10" s="675">
        <f t="shared" si="12"/>
        <v>0</v>
      </c>
    </row>
    <row r="11" spans="1:15" x14ac:dyDescent="0.2">
      <c r="A11" s="645" t="s">
        <v>150</v>
      </c>
      <c r="B11" s="682">
        <f>FFM!N12</f>
        <v>0</v>
      </c>
      <c r="C11" s="672">
        <f t="shared" si="0"/>
        <v>0</v>
      </c>
      <c r="D11" s="673">
        <f t="shared" si="1"/>
        <v>0</v>
      </c>
      <c r="E11" s="672">
        <f t="shared" si="2"/>
        <v>0</v>
      </c>
      <c r="F11" s="673">
        <f t="shared" si="3"/>
        <v>0</v>
      </c>
      <c r="G11" s="672">
        <f t="shared" si="4"/>
        <v>0</v>
      </c>
      <c r="H11" s="672">
        <f t="shared" si="5"/>
        <v>0</v>
      </c>
      <c r="I11" s="672">
        <f t="shared" si="6"/>
        <v>0</v>
      </c>
      <c r="J11" s="673">
        <f t="shared" si="7"/>
        <v>0</v>
      </c>
      <c r="K11" s="672">
        <f t="shared" si="8"/>
        <v>0</v>
      </c>
      <c r="L11" s="673">
        <f t="shared" si="9"/>
        <v>0</v>
      </c>
      <c r="M11" s="672">
        <f t="shared" si="10"/>
        <v>0</v>
      </c>
      <c r="N11" s="672">
        <f t="shared" si="11"/>
        <v>0</v>
      </c>
      <c r="O11" s="675">
        <f t="shared" si="12"/>
        <v>0</v>
      </c>
    </row>
    <row r="12" spans="1:15" x14ac:dyDescent="0.2">
      <c r="A12" s="645" t="s">
        <v>284</v>
      </c>
      <c r="B12" s="682">
        <f>FFM!N13</f>
        <v>0.31085381884634111</v>
      </c>
      <c r="C12" s="672">
        <f>$C$34*B12/100</f>
        <v>5919.8521659202488</v>
      </c>
      <c r="D12" s="673">
        <f>$D$34*B12/100</f>
        <v>18089.004792524047</v>
      </c>
      <c r="E12" s="672">
        <f>$E$34*B12/100</f>
        <v>4463.9051249436416</v>
      </c>
      <c r="F12" s="673">
        <f>$F$34*B12/100</f>
        <v>18970.718943527379</v>
      </c>
      <c r="G12" s="672">
        <f>$G$34*B12/100</f>
        <v>6774.5658830692564</v>
      </c>
      <c r="H12" s="672">
        <f>$H$34*B12/100</f>
        <v>5008.5343232285722</v>
      </c>
      <c r="I12" s="672">
        <f>$I$34*B12/100</f>
        <v>3852.2540512120204</v>
      </c>
      <c r="J12" s="673">
        <f>$J$34*B12/100</f>
        <v>10298.193277999939</v>
      </c>
      <c r="K12" s="672">
        <f>$K$34*B12/100</f>
        <v>4650.9677768372585</v>
      </c>
      <c r="L12" s="673">
        <f>$L$34*B12/100</f>
        <v>5144.0883565798613</v>
      </c>
      <c r="M12" s="672">
        <f>$M$34*B12/100</f>
        <v>6448.7591379308587</v>
      </c>
      <c r="N12" s="672">
        <f>$N$34*B12/100</f>
        <v>3175.6972993270797</v>
      </c>
      <c r="O12" s="675">
        <f t="shared" si="12"/>
        <v>92796.541133100152</v>
      </c>
    </row>
    <row r="13" spans="1:15" x14ac:dyDescent="0.2">
      <c r="A13" s="645" t="s">
        <v>152</v>
      </c>
      <c r="B13" s="682">
        <f>FFM!N14</f>
        <v>0.26703072914750042</v>
      </c>
      <c r="C13" s="672">
        <f t="shared" ref="C13:C25" si="13">$C$34*B13/100</f>
        <v>5085.2920069561505</v>
      </c>
      <c r="D13" s="673">
        <f t="shared" ref="D13:D26" si="14">$D$34*B13/100</f>
        <v>15538.879841421582</v>
      </c>
      <c r="E13" s="672">
        <f t="shared" ref="E13:E26" si="15">$E$34*B13/100</f>
        <v>3834.5993135383828</v>
      </c>
      <c r="F13" s="673">
        <f t="shared" ref="F13:F26" si="16">$F$34*B13/100</f>
        <v>16296.292999528778</v>
      </c>
      <c r="G13" s="672">
        <f t="shared" ref="G13:G26" si="17">$G$34*B13/100</f>
        <v>5819.5111584200395</v>
      </c>
      <c r="H13" s="672">
        <f t="shared" ref="H13:H26" si="18">$H$34*B13/100</f>
        <v>4302.4485826024793</v>
      </c>
      <c r="I13" s="672">
        <f t="shared" ref="I13:I26" si="19">$I$34*B13/100</f>
        <v>3309.1766798111707</v>
      </c>
      <c r="J13" s="673">
        <f t="shared" ref="J13:J26" si="20">$J$34*B13/100</f>
        <v>8846.3898244259235</v>
      </c>
      <c r="K13" s="672">
        <f t="shared" ref="K13:K26" si="21">$K$34*B13/100</f>
        <v>3995.2905236924048</v>
      </c>
      <c r="L13" s="673">
        <f t="shared" ref="L13:L26" si="22">$L$34*B13/100</f>
        <v>4418.8926800210538</v>
      </c>
      <c r="M13" s="672">
        <f t="shared" ref="M13:M26" si="23">$M$34*B13/100</f>
        <v>5539.6355144972422</v>
      </c>
      <c r="N13" s="672">
        <f t="shared" ref="N13:N26" si="24">$N$34*B13/100</f>
        <v>2727.9985445835528</v>
      </c>
      <c r="O13" s="675">
        <f t="shared" si="12"/>
        <v>79714.40766949876</v>
      </c>
    </row>
    <row r="14" spans="1:15" x14ac:dyDescent="0.2">
      <c r="A14" s="645" t="s">
        <v>153</v>
      </c>
      <c r="B14" s="682">
        <f>FFM!N15</f>
        <v>0</v>
      </c>
      <c r="C14" s="672">
        <f t="shared" si="13"/>
        <v>0</v>
      </c>
      <c r="D14" s="673">
        <f t="shared" si="14"/>
        <v>0</v>
      </c>
      <c r="E14" s="672">
        <f t="shared" si="15"/>
        <v>0</v>
      </c>
      <c r="F14" s="673">
        <f t="shared" si="16"/>
        <v>0</v>
      </c>
      <c r="G14" s="672">
        <f t="shared" si="17"/>
        <v>0</v>
      </c>
      <c r="H14" s="672">
        <f t="shared" si="18"/>
        <v>0</v>
      </c>
      <c r="I14" s="672">
        <f t="shared" si="19"/>
        <v>0</v>
      </c>
      <c r="J14" s="673">
        <f t="shared" si="20"/>
        <v>0</v>
      </c>
      <c r="K14" s="672">
        <f t="shared" si="21"/>
        <v>0</v>
      </c>
      <c r="L14" s="673">
        <f t="shared" si="22"/>
        <v>0</v>
      </c>
      <c r="M14" s="672">
        <f t="shared" si="23"/>
        <v>0</v>
      </c>
      <c r="N14" s="672">
        <f t="shared" si="24"/>
        <v>0</v>
      </c>
      <c r="O14" s="675">
        <f t="shared" si="12"/>
        <v>0</v>
      </c>
    </row>
    <row r="15" spans="1:15" x14ac:dyDescent="0.2">
      <c r="A15" s="645" t="s">
        <v>154</v>
      </c>
      <c r="B15" s="682">
        <f>FFM!N16</f>
        <v>0</v>
      </c>
      <c r="C15" s="672">
        <f t="shared" si="13"/>
        <v>0</v>
      </c>
      <c r="D15" s="673">
        <f t="shared" si="14"/>
        <v>0</v>
      </c>
      <c r="E15" s="672">
        <f t="shared" si="15"/>
        <v>0</v>
      </c>
      <c r="F15" s="673">
        <f t="shared" si="16"/>
        <v>0</v>
      </c>
      <c r="G15" s="672">
        <f t="shared" si="17"/>
        <v>0</v>
      </c>
      <c r="H15" s="672">
        <f t="shared" si="18"/>
        <v>0</v>
      </c>
      <c r="I15" s="672">
        <f t="shared" si="19"/>
        <v>0</v>
      </c>
      <c r="J15" s="673">
        <f t="shared" si="20"/>
        <v>0</v>
      </c>
      <c r="K15" s="672">
        <f t="shared" si="21"/>
        <v>0</v>
      </c>
      <c r="L15" s="673">
        <f t="shared" si="22"/>
        <v>0</v>
      </c>
      <c r="M15" s="672">
        <f t="shared" si="23"/>
        <v>0</v>
      </c>
      <c r="N15" s="672">
        <f t="shared" si="24"/>
        <v>0</v>
      </c>
      <c r="O15" s="675">
        <f t="shared" si="12"/>
        <v>0</v>
      </c>
    </row>
    <row r="16" spans="1:15" x14ac:dyDescent="0.2">
      <c r="A16" s="645" t="s">
        <v>155</v>
      </c>
      <c r="B16" s="682">
        <f>FFM!N17</f>
        <v>0</v>
      </c>
      <c r="C16" s="672">
        <f t="shared" si="13"/>
        <v>0</v>
      </c>
      <c r="D16" s="673">
        <f t="shared" si="14"/>
        <v>0</v>
      </c>
      <c r="E16" s="672">
        <f t="shared" si="15"/>
        <v>0</v>
      </c>
      <c r="F16" s="673">
        <f t="shared" si="16"/>
        <v>0</v>
      </c>
      <c r="G16" s="672">
        <f t="shared" si="17"/>
        <v>0</v>
      </c>
      <c r="H16" s="672">
        <f t="shared" si="18"/>
        <v>0</v>
      </c>
      <c r="I16" s="672">
        <f t="shared" si="19"/>
        <v>0</v>
      </c>
      <c r="J16" s="673">
        <f t="shared" si="20"/>
        <v>0</v>
      </c>
      <c r="K16" s="672">
        <f t="shared" si="21"/>
        <v>0</v>
      </c>
      <c r="L16" s="673">
        <f t="shared" si="22"/>
        <v>0</v>
      </c>
      <c r="M16" s="672">
        <f t="shared" si="23"/>
        <v>0</v>
      </c>
      <c r="N16" s="672">
        <f t="shared" si="24"/>
        <v>0</v>
      </c>
      <c r="O16" s="675">
        <f t="shared" si="12"/>
        <v>0</v>
      </c>
    </row>
    <row r="17" spans="1:16" x14ac:dyDescent="0.2">
      <c r="A17" s="645" t="s">
        <v>156</v>
      </c>
      <c r="B17" s="682">
        <f>FFM!N18</f>
        <v>21.65071348418147</v>
      </c>
      <c r="C17" s="672">
        <f t="shared" si="13"/>
        <v>412312.84720489779</v>
      </c>
      <c r="D17" s="673">
        <f t="shared" si="14"/>
        <v>1259884.3450931387</v>
      </c>
      <c r="E17" s="672">
        <f t="shared" si="15"/>
        <v>310907.33013802138</v>
      </c>
      <c r="F17" s="673">
        <f t="shared" si="16"/>
        <v>1321295.0124259975</v>
      </c>
      <c r="G17" s="672">
        <f t="shared" si="17"/>
        <v>471842.95646870002</v>
      </c>
      <c r="H17" s="672">
        <f t="shared" si="18"/>
        <v>348840.30703033751</v>
      </c>
      <c r="I17" s="672">
        <f t="shared" si="19"/>
        <v>268306.33459998266</v>
      </c>
      <c r="J17" s="673">
        <f t="shared" si="20"/>
        <v>717260.71403650253</v>
      </c>
      <c r="K17" s="672">
        <f t="shared" si="21"/>
        <v>323936.09039186226</v>
      </c>
      <c r="L17" s="673">
        <f t="shared" si="22"/>
        <v>358281.53425606666</v>
      </c>
      <c r="M17" s="672">
        <f t="shared" si="23"/>
        <v>449150.78393440647</v>
      </c>
      <c r="N17" s="672">
        <f t="shared" si="24"/>
        <v>221184.71182175336</v>
      </c>
      <c r="O17" s="675">
        <f t="shared" si="12"/>
        <v>6463202.9674016684</v>
      </c>
    </row>
    <row r="18" spans="1:16" x14ac:dyDescent="0.2">
      <c r="A18" s="645" t="s">
        <v>157</v>
      </c>
      <c r="B18" s="682">
        <f>FFM!N19</f>
        <v>0</v>
      </c>
      <c r="C18" s="672">
        <f t="shared" si="13"/>
        <v>0</v>
      </c>
      <c r="D18" s="673">
        <f t="shared" si="14"/>
        <v>0</v>
      </c>
      <c r="E18" s="672">
        <f t="shared" si="15"/>
        <v>0</v>
      </c>
      <c r="F18" s="673">
        <f t="shared" si="16"/>
        <v>0</v>
      </c>
      <c r="G18" s="672">
        <f t="shared" si="17"/>
        <v>0</v>
      </c>
      <c r="H18" s="672">
        <f t="shared" si="18"/>
        <v>0</v>
      </c>
      <c r="I18" s="672">
        <f t="shared" si="19"/>
        <v>0</v>
      </c>
      <c r="J18" s="673">
        <f t="shared" si="20"/>
        <v>0</v>
      </c>
      <c r="K18" s="672">
        <f t="shared" si="21"/>
        <v>0</v>
      </c>
      <c r="L18" s="673">
        <f t="shared" si="22"/>
        <v>0</v>
      </c>
      <c r="M18" s="672">
        <f t="shared" si="23"/>
        <v>0</v>
      </c>
      <c r="N18" s="672">
        <f t="shared" si="24"/>
        <v>0</v>
      </c>
      <c r="O18" s="675">
        <f t="shared" si="12"/>
        <v>0</v>
      </c>
    </row>
    <row r="19" spans="1:16" x14ac:dyDescent="0.2">
      <c r="A19" s="645" t="s">
        <v>158</v>
      </c>
      <c r="B19" s="682">
        <f>FFM!N20</f>
        <v>0</v>
      </c>
      <c r="C19" s="672">
        <f t="shared" si="13"/>
        <v>0</v>
      </c>
      <c r="D19" s="673">
        <f t="shared" si="14"/>
        <v>0</v>
      </c>
      <c r="E19" s="672">
        <f t="shared" si="15"/>
        <v>0</v>
      </c>
      <c r="F19" s="673">
        <f t="shared" si="16"/>
        <v>0</v>
      </c>
      <c r="G19" s="672">
        <f t="shared" si="17"/>
        <v>0</v>
      </c>
      <c r="H19" s="672">
        <f t="shared" si="18"/>
        <v>0</v>
      </c>
      <c r="I19" s="672">
        <f t="shared" si="19"/>
        <v>0</v>
      </c>
      <c r="J19" s="673">
        <f t="shared" si="20"/>
        <v>0</v>
      </c>
      <c r="K19" s="672">
        <f t="shared" si="21"/>
        <v>0</v>
      </c>
      <c r="L19" s="673">
        <f t="shared" si="22"/>
        <v>0</v>
      </c>
      <c r="M19" s="672">
        <f t="shared" si="23"/>
        <v>0</v>
      </c>
      <c r="N19" s="672">
        <f t="shared" si="24"/>
        <v>0</v>
      </c>
      <c r="O19" s="675">
        <f t="shared" si="12"/>
        <v>0</v>
      </c>
    </row>
    <row r="20" spans="1:16" x14ac:dyDescent="0.2">
      <c r="A20" s="645" t="s">
        <v>285</v>
      </c>
      <c r="B20" s="682">
        <f>FFM!N21</f>
        <v>0</v>
      </c>
      <c r="C20" s="672">
        <f t="shared" si="13"/>
        <v>0</v>
      </c>
      <c r="D20" s="673">
        <f t="shared" si="14"/>
        <v>0</v>
      </c>
      <c r="E20" s="672">
        <f t="shared" si="15"/>
        <v>0</v>
      </c>
      <c r="F20" s="673">
        <f t="shared" si="16"/>
        <v>0</v>
      </c>
      <c r="G20" s="672">
        <f t="shared" si="17"/>
        <v>0</v>
      </c>
      <c r="H20" s="672">
        <f t="shared" si="18"/>
        <v>0</v>
      </c>
      <c r="I20" s="672">
        <f t="shared" si="19"/>
        <v>0</v>
      </c>
      <c r="J20" s="673">
        <f t="shared" si="20"/>
        <v>0</v>
      </c>
      <c r="K20" s="672">
        <f t="shared" si="21"/>
        <v>0</v>
      </c>
      <c r="L20" s="673">
        <f t="shared" si="22"/>
        <v>0</v>
      </c>
      <c r="M20" s="672">
        <f t="shared" si="23"/>
        <v>0</v>
      </c>
      <c r="N20" s="672">
        <f t="shared" si="24"/>
        <v>0</v>
      </c>
      <c r="O20" s="675">
        <f t="shared" si="12"/>
        <v>0</v>
      </c>
    </row>
    <row r="21" spans="1:16" x14ac:dyDescent="0.2">
      <c r="A21" s="645" t="s">
        <v>286</v>
      </c>
      <c r="B21" s="682">
        <f>FFM!N22</f>
        <v>0</v>
      </c>
      <c r="C21" s="672">
        <f t="shared" si="13"/>
        <v>0</v>
      </c>
      <c r="D21" s="673">
        <f t="shared" si="14"/>
        <v>0</v>
      </c>
      <c r="E21" s="672">
        <f t="shared" si="15"/>
        <v>0</v>
      </c>
      <c r="F21" s="673">
        <f t="shared" si="16"/>
        <v>0</v>
      </c>
      <c r="G21" s="672">
        <f t="shared" si="17"/>
        <v>0</v>
      </c>
      <c r="H21" s="672">
        <f t="shared" si="18"/>
        <v>0</v>
      </c>
      <c r="I21" s="672">
        <f t="shared" si="19"/>
        <v>0</v>
      </c>
      <c r="J21" s="673">
        <f t="shared" si="20"/>
        <v>0</v>
      </c>
      <c r="K21" s="672">
        <f t="shared" si="21"/>
        <v>0</v>
      </c>
      <c r="L21" s="673">
        <f t="shared" si="22"/>
        <v>0</v>
      </c>
      <c r="M21" s="672">
        <f t="shared" si="23"/>
        <v>0</v>
      </c>
      <c r="N21" s="672">
        <f t="shared" si="24"/>
        <v>0</v>
      </c>
      <c r="O21" s="675">
        <f t="shared" si="12"/>
        <v>0</v>
      </c>
    </row>
    <row r="22" spans="1:16" x14ac:dyDescent="0.2">
      <c r="A22" s="645" t="s">
        <v>287</v>
      </c>
      <c r="B22" s="682">
        <f>FFM!N23</f>
        <v>56.961419953614708</v>
      </c>
      <c r="C22" s="672">
        <f t="shared" si="13"/>
        <v>1084764.4932841652</v>
      </c>
      <c r="D22" s="673">
        <f t="shared" si="14"/>
        <v>3314662.1854410563</v>
      </c>
      <c r="E22" s="672">
        <f t="shared" si="15"/>
        <v>817974.10563804803</v>
      </c>
      <c r="F22" s="673">
        <f t="shared" si="16"/>
        <v>3476229.0924224113</v>
      </c>
      <c r="G22" s="672">
        <f t="shared" si="17"/>
        <v>1241383.7915875441</v>
      </c>
      <c r="H22" s="672">
        <f t="shared" si="18"/>
        <v>917772.95191776333</v>
      </c>
      <c r="I22" s="672">
        <f t="shared" si="19"/>
        <v>705894.04882803885</v>
      </c>
      <c r="J22" s="673">
        <f t="shared" si="20"/>
        <v>1887059.6933589869</v>
      </c>
      <c r="K22" s="672">
        <f t="shared" si="21"/>
        <v>852251.80668638635</v>
      </c>
      <c r="L22" s="673">
        <f t="shared" si="22"/>
        <v>942612.11988676235</v>
      </c>
      <c r="M22" s="672">
        <f t="shared" si="23"/>
        <v>1181682.3701849582</v>
      </c>
      <c r="N22" s="672">
        <f t="shared" si="24"/>
        <v>581920.5573342084</v>
      </c>
      <c r="O22" s="675">
        <f t="shared" si="12"/>
        <v>17004207.216570329</v>
      </c>
    </row>
    <row r="23" spans="1:16" x14ac:dyDescent="0.2">
      <c r="A23" s="645" t="s">
        <v>162</v>
      </c>
      <c r="B23" s="682">
        <f>FFM!N24</f>
        <v>0</v>
      </c>
      <c r="C23" s="672">
        <f t="shared" si="13"/>
        <v>0</v>
      </c>
      <c r="D23" s="673">
        <f t="shared" si="14"/>
        <v>0</v>
      </c>
      <c r="E23" s="672">
        <f t="shared" si="15"/>
        <v>0</v>
      </c>
      <c r="F23" s="673">
        <f t="shared" si="16"/>
        <v>0</v>
      </c>
      <c r="G23" s="672">
        <f t="shared" si="17"/>
        <v>0</v>
      </c>
      <c r="H23" s="672">
        <f t="shared" si="18"/>
        <v>0</v>
      </c>
      <c r="I23" s="672">
        <f t="shared" si="19"/>
        <v>0</v>
      </c>
      <c r="J23" s="673">
        <f t="shared" si="20"/>
        <v>0</v>
      </c>
      <c r="K23" s="672">
        <f t="shared" si="21"/>
        <v>0</v>
      </c>
      <c r="L23" s="673">
        <f t="shared" si="22"/>
        <v>0</v>
      </c>
      <c r="M23" s="672">
        <f t="shared" si="23"/>
        <v>0</v>
      </c>
      <c r="N23" s="672">
        <f t="shared" si="24"/>
        <v>0</v>
      </c>
      <c r="O23" s="675">
        <f t="shared" si="12"/>
        <v>0</v>
      </c>
    </row>
    <row r="24" spans="1:16" x14ac:dyDescent="0.2">
      <c r="A24" s="645" t="s">
        <v>163</v>
      </c>
      <c r="B24" s="682">
        <f>FFM!N25</f>
        <v>0</v>
      </c>
      <c r="C24" s="672">
        <f t="shared" si="13"/>
        <v>0</v>
      </c>
      <c r="D24" s="673">
        <f t="shared" si="14"/>
        <v>0</v>
      </c>
      <c r="E24" s="672">
        <f t="shared" si="15"/>
        <v>0</v>
      </c>
      <c r="F24" s="673">
        <f t="shared" si="16"/>
        <v>0</v>
      </c>
      <c r="G24" s="672">
        <f t="shared" si="17"/>
        <v>0</v>
      </c>
      <c r="H24" s="672">
        <f t="shared" si="18"/>
        <v>0</v>
      </c>
      <c r="I24" s="672">
        <f t="shared" si="19"/>
        <v>0</v>
      </c>
      <c r="J24" s="673">
        <f t="shared" si="20"/>
        <v>0</v>
      </c>
      <c r="K24" s="672">
        <f t="shared" si="21"/>
        <v>0</v>
      </c>
      <c r="L24" s="673">
        <f t="shared" si="22"/>
        <v>0</v>
      </c>
      <c r="M24" s="672">
        <f t="shared" si="23"/>
        <v>0</v>
      </c>
      <c r="N24" s="672">
        <f t="shared" si="24"/>
        <v>0</v>
      </c>
      <c r="O24" s="675">
        <f t="shared" si="12"/>
        <v>0</v>
      </c>
    </row>
    <row r="25" spans="1:16" x14ac:dyDescent="0.2">
      <c r="A25" s="645" t="s">
        <v>164</v>
      </c>
      <c r="B25" s="682">
        <f>FFM!N26</f>
        <v>20.809982014209979</v>
      </c>
      <c r="C25" s="672">
        <f t="shared" si="13"/>
        <v>396302.0868033077</v>
      </c>
      <c r="D25" s="673">
        <f t="shared" si="14"/>
        <v>1210961.0420242529</v>
      </c>
      <c r="E25" s="672">
        <f t="shared" si="15"/>
        <v>298834.30645301309</v>
      </c>
      <c r="F25" s="673">
        <f t="shared" si="16"/>
        <v>1269987.0359533273</v>
      </c>
      <c r="G25" s="672">
        <f t="shared" si="17"/>
        <v>453520.5477094017</v>
      </c>
      <c r="H25" s="672">
        <f t="shared" si="18"/>
        <v>335294.28581818676</v>
      </c>
      <c r="I25" s="672">
        <f t="shared" si="19"/>
        <v>257887.57499394397</v>
      </c>
      <c r="J25" s="673">
        <f t="shared" si="20"/>
        <v>689408.34534180374</v>
      </c>
      <c r="K25" s="672">
        <f t="shared" si="21"/>
        <v>311357.1393263028</v>
      </c>
      <c r="L25" s="673">
        <f t="shared" si="22"/>
        <v>344368.89524863526</v>
      </c>
      <c r="M25" s="672">
        <f t="shared" si="23"/>
        <v>431709.54814825492</v>
      </c>
      <c r="N25" s="672">
        <f t="shared" si="24"/>
        <v>212595.75940496635</v>
      </c>
      <c r="O25" s="675">
        <f t="shared" si="12"/>
        <v>6212226.5672253966</v>
      </c>
    </row>
    <row r="26" spans="1:16" ht="13.5" thickBot="1" x14ac:dyDescent="0.25">
      <c r="A26" s="645" t="s">
        <v>165</v>
      </c>
      <c r="B26" s="682">
        <f>FFM!N27</f>
        <v>0</v>
      </c>
      <c r="C26" s="672">
        <f t="shared" si="0"/>
        <v>0</v>
      </c>
      <c r="D26" s="673">
        <f t="shared" si="14"/>
        <v>0</v>
      </c>
      <c r="E26" s="672">
        <f t="shared" si="15"/>
        <v>0</v>
      </c>
      <c r="F26" s="673">
        <f t="shared" si="16"/>
        <v>0</v>
      </c>
      <c r="G26" s="672">
        <f t="shared" si="17"/>
        <v>0</v>
      </c>
      <c r="H26" s="672">
        <f t="shared" si="18"/>
        <v>0</v>
      </c>
      <c r="I26" s="672">
        <f t="shared" si="19"/>
        <v>0</v>
      </c>
      <c r="J26" s="673">
        <f t="shared" si="20"/>
        <v>0</v>
      </c>
      <c r="K26" s="672">
        <f t="shared" si="21"/>
        <v>0</v>
      </c>
      <c r="L26" s="673">
        <f t="shared" si="22"/>
        <v>0</v>
      </c>
      <c r="M26" s="672">
        <f t="shared" si="23"/>
        <v>0</v>
      </c>
      <c r="N26" s="672">
        <f t="shared" si="24"/>
        <v>0</v>
      </c>
      <c r="O26" s="675">
        <f t="shared" si="12"/>
        <v>0</v>
      </c>
    </row>
    <row r="27" spans="1:16" ht="13.5" thickBot="1" x14ac:dyDescent="0.25">
      <c r="A27" s="650" t="s">
        <v>288</v>
      </c>
      <c r="B27" s="684">
        <f>SUM(B7:B26)</f>
        <v>100</v>
      </c>
      <c r="C27" s="680">
        <f t="shared" ref="C27:N27" si="25">SUM(C7:C26)</f>
        <v>1904384.5714652471</v>
      </c>
      <c r="D27" s="680">
        <f t="shared" si="25"/>
        <v>5819135.457192393</v>
      </c>
      <c r="E27" s="680">
        <f t="shared" si="25"/>
        <v>1436014.2466675646</v>
      </c>
      <c r="F27" s="680">
        <f t="shared" si="25"/>
        <v>6102778.1527447924</v>
      </c>
      <c r="G27" s="680">
        <f t="shared" si="25"/>
        <v>2179341.3728071349</v>
      </c>
      <c r="H27" s="680">
        <f t="shared" si="25"/>
        <v>1611218.5276721187</v>
      </c>
      <c r="I27" s="680">
        <f t="shared" si="25"/>
        <v>1239249.3891529888</v>
      </c>
      <c r="J27" s="680">
        <f t="shared" si="25"/>
        <v>3312873.3358397186</v>
      </c>
      <c r="K27" s="680">
        <f t="shared" si="25"/>
        <v>1496191.294705081</v>
      </c>
      <c r="L27" s="680">
        <f t="shared" si="25"/>
        <v>1654825.530428065</v>
      </c>
      <c r="M27" s="680">
        <f t="shared" si="25"/>
        <v>2074531.0969200477</v>
      </c>
      <c r="N27" s="680">
        <f t="shared" si="25"/>
        <v>1021604.7244048388</v>
      </c>
      <c r="O27" s="680">
        <f t="shared" si="12"/>
        <v>29852147.699999988</v>
      </c>
    </row>
    <row r="28" spans="1:16" x14ac:dyDescent="0.2">
      <c r="A28" s="653"/>
      <c r="B28" s="653"/>
      <c r="C28" s="653"/>
      <c r="D28" s="653"/>
      <c r="E28" s="653"/>
      <c r="F28" s="653"/>
      <c r="G28" s="653"/>
      <c r="H28" s="653"/>
      <c r="I28" s="653"/>
      <c r="J28" s="653"/>
      <c r="K28" s="653"/>
      <c r="L28" s="653"/>
      <c r="M28" s="653"/>
      <c r="N28" s="653"/>
      <c r="O28" s="653"/>
      <c r="P28" s="649"/>
    </row>
    <row r="29" spans="1:16" x14ac:dyDescent="0.2">
      <c r="A29" s="654" t="s">
        <v>289</v>
      </c>
      <c r="M29" s="649"/>
      <c r="O29" s="649"/>
    </row>
    <row r="30" spans="1:16" x14ac:dyDescent="0.2">
      <c r="A30" s="640" t="s">
        <v>168</v>
      </c>
      <c r="B30" s="685"/>
      <c r="C30" s="649">
        <f>'X22.55 POE'!B22</f>
        <v>41779597.571550831</v>
      </c>
      <c r="D30" s="649">
        <f>'X22.55 POE'!C22</f>
        <v>60331272.190641306</v>
      </c>
      <c r="E30" s="649">
        <f>'X22.55 POE'!D22</f>
        <v>39361786.155558549</v>
      </c>
      <c r="F30" s="649">
        <f>'X22.55 POE'!E22</f>
        <v>58498394.842482641</v>
      </c>
      <c r="G30" s="649">
        <f>'X22.55 POE'!F22</f>
        <v>39536998.242690451</v>
      </c>
      <c r="H30" s="649">
        <f>'X22.55 POE'!G22</f>
        <v>39936942.425573736</v>
      </c>
      <c r="I30" s="649">
        <f>'X22.55 POE'!H22</f>
        <v>42796954.297176637</v>
      </c>
      <c r="J30" s="649">
        <f>'X22.55 POE'!I22</f>
        <v>44295282.119465731</v>
      </c>
      <c r="K30" s="649">
        <f>'X22.55 POE'!J22</f>
        <v>42075908.315683603</v>
      </c>
      <c r="L30" s="649">
        <f>'X22.55 POE'!K22</f>
        <v>42518313.101426885</v>
      </c>
      <c r="M30" s="649">
        <f>'X22.55 POE'!L22</f>
        <v>40156806.656400159</v>
      </c>
      <c r="N30" s="649">
        <f>'X22.55 POE'!M22</f>
        <v>40692447.08134947</v>
      </c>
      <c r="O30" s="649">
        <f>SUM(C30:N30)</f>
        <v>531980703.00000006</v>
      </c>
      <c r="P30" s="649"/>
    </row>
    <row r="31" spans="1:16" x14ac:dyDescent="0.2">
      <c r="A31" s="640" t="s">
        <v>361</v>
      </c>
      <c r="B31" s="686"/>
      <c r="C31" s="649">
        <f>'F.F.M.ESTIIMACIONES 2014'!C27</f>
        <v>35431649.000000007</v>
      </c>
      <c r="D31" s="649">
        <f>'F.F.M.ESTIIMACIONES 2014'!D27</f>
        <v>40934153.999999993</v>
      </c>
      <c r="E31" s="649">
        <f>'F.F.M.ESTIIMACIONES 2014'!E27</f>
        <v>34575072</v>
      </c>
      <c r="F31" s="649">
        <f>'F.F.M.ESTIIMACIONES 2014'!F27</f>
        <v>38155801</v>
      </c>
      <c r="G31" s="649">
        <f>'F.F.M.ESTIIMACIONES 2014'!G27</f>
        <v>32272527</v>
      </c>
      <c r="H31" s="649">
        <f>'F.F.M.ESTIIMACIONES 2014'!H27</f>
        <v>34566214.000000007</v>
      </c>
      <c r="I31" s="649">
        <f>'F.F.M.ESTIIMACIONES 2014'!I27</f>
        <v>38666123.000000007</v>
      </c>
      <c r="J31" s="649">
        <f>'F.F.M.ESTIIMACIONES 2014'!J27</f>
        <v>33252371</v>
      </c>
      <c r="K31" s="649">
        <f>'F.F.M.ESTIIMACIONES 2014'!K27</f>
        <v>37088604</v>
      </c>
      <c r="L31" s="649">
        <f>'F.F.M.ESTIIMACIONES 2014'!L27</f>
        <v>37002228</v>
      </c>
      <c r="M31" s="649">
        <f>'F.F.M.ESTIIMACIONES 2014'!M27</f>
        <v>33241703</v>
      </c>
      <c r="N31" s="649">
        <f>'F.F.M.ESTIIMACIONES 2014'!N27</f>
        <v>37287098.000000007</v>
      </c>
      <c r="O31" s="649">
        <f>SUM(C31:N31)</f>
        <v>432473544</v>
      </c>
      <c r="P31" s="649"/>
    </row>
    <row r="32" spans="1:16" x14ac:dyDescent="0.2">
      <c r="A32" s="640" t="s">
        <v>350</v>
      </c>
      <c r="B32" s="686"/>
      <c r="C32" s="649">
        <f>C30-C31</f>
        <v>6347948.5715508237</v>
      </c>
      <c r="D32" s="649">
        <f t="shared" ref="D32:N32" si="26">D30-D31</f>
        <v>19397118.190641314</v>
      </c>
      <c r="E32" s="649">
        <f t="shared" si="26"/>
        <v>4786714.1555585489</v>
      </c>
      <c r="F32" s="649">
        <f t="shared" si="26"/>
        <v>20342593.842482641</v>
      </c>
      <c r="G32" s="649">
        <f t="shared" si="26"/>
        <v>7264471.2426904514</v>
      </c>
      <c r="H32" s="649">
        <f t="shared" si="26"/>
        <v>5370728.425573729</v>
      </c>
      <c r="I32" s="649">
        <f t="shared" si="26"/>
        <v>4130831.2971766293</v>
      </c>
      <c r="J32" s="649">
        <f t="shared" si="26"/>
        <v>11042911.119465731</v>
      </c>
      <c r="K32" s="649">
        <f t="shared" si="26"/>
        <v>4987304.3156836033</v>
      </c>
      <c r="L32" s="649">
        <f t="shared" si="26"/>
        <v>5516085.1014268845</v>
      </c>
      <c r="M32" s="649">
        <f t="shared" si="26"/>
        <v>6915103.656400159</v>
      </c>
      <c r="N32" s="649">
        <f t="shared" si="26"/>
        <v>3405349.0813494623</v>
      </c>
      <c r="O32" s="649">
        <f t="shared" ref="O32:O34" si="27">SUM(C32:N32)</f>
        <v>99507158.99999997</v>
      </c>
      <c r="P32" s="649"/>
    </row>
    <row r="33" spans="1:16" x14ac:dyDescent="0.2">
      <c r="A33" s="640">
        <v>0.7</v>
      </c>
      <c r="C33" s="649">
        <f>C32*$A$33</f>
        <v>4443564.0000855764</v>
      </c>
      <c r="D33" s="649">
        <f t="shared" ref="D33:N33" si="28">D32*$A$33</f>
        <v>13577982.733448919</v>
      </c>
      <c r="E33" s="649">
        <f t="shared" si="28"/>
        <v>3350699.908890984</v>
      </c>
      <c r="F33" s="649">
        <f t="shared" si="28"/>
        <v>14239815.689737849</v>
      </c>
      <c r="G33" s="649">
        <f t="shared" si="28"/>
        <v>5085129.8698833156</v>
      </c>
      <c r="H33" s="649">
        <f t="shared" si="28"/>
        <v>3759509.89790161</v>
      </c>
      <c r="I33" s="649">
        <f t="shared" si="28"/>
        <v>2891581.9080236405</v>
      </c>
      <c r="J33" s="649">
        <f t="shared" si="28"/>
        <v>7730037.7836260116</v>
      </c>
      <c r="K33" s="649">
        <f t="shared" si="28"/>
        <v>3491113.020978522</v>
      </c>
      <c r="L33" s="649">
        <f t="shared" si="28"/>
        <v>3861259.5709988191</v>
      </c>
      <c r="M33" s="649">
        <f t="shared" si="28"/>
        <v>4840572.5594801111</v>
      </c>
      <c r="N33" s="649">
        <f t="shared" si="28"/>
        <v>2383744.3569446234</v>
      </c>
      <c r="O33" s="649">
        <f t="shared" si="27"/>
        <v>69655011.299999982</v>
      </c>
      <c r="P33" s="649"/>
    </row>
    <row r="34" spans="1:16" x14ac:dyDescent="0.2">
      <c r="A34" s="640">
        <v>0.3</v>
      </c>
      <c r="C34" s="649">
        <f>C32*$A$34</f>
        <v>1904384.5714652471</v>
      </c>
      <c r="D34" s="649">
        <f t="shared" ref="D34:N34" si="29">D32*$A$34</f>
        <v>5819135.457192394</v>
      </c>
      <c r="E34" s="649">
        <f t="shared" si="29"/>
        <v>1436014.2466675646</v>
      </c>
      <c r="F34" s="649">
        <f t="shared" si="29"/>
        <v>6102778.1527447924</v>
      </c>
      <c r="G34" s="649">
        <f t="shared" si="29"/>
        <v>2179341.3728071353</v>
      </c>
      <c r="H34" s="649">
        <f t="shared" si="29"/>
        <v>1611218.5276721187</v>
      </c>
      <c r="I34" s="649">
        <f t="shared" si="29"/>
        <v>1239249.3891529888</v>
      </c>
      <c r="J34" s="649">
        <f t="shared" si="29"/>
        <v>3312873.335839719</v>
      </c>
      <c r="K34" s="649">
        <f t="shared" si="29"/>
        <v>1496191.294705081</v>
      </c>
      <c r="L34" s="649">
        <f t="shared" si="29"/>
        <v>1654825.5304280652</v>
      </c>
      <c r="M34" s="649">
        <f t="shared" si="29"/>
        <v>2074531.0969200477</v>
      </c>
      <c r="N34" s="649">
        <f t="shared" si="29"/>
        <v>1021604.7244048386</v>
      </c>
      <c r="O34" s="649">
        <f t="shared" si="27"/>
        <v>29852147.699999992</v>
      </c>
      <c r="P34" s="649"/>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5" orientation="landscape"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5" tint="0.59999389629810485"/>
  </sheetPr>
  <dimension ref="A1:P38"/>
  <sheetViews>
    <sheetView topLeftCell="A5" workbookViewId="0">
      <selection activeCell="Q34" sqref="Q34"/>
    </sheetView>
  </sheetViews>
  <sheetFormatPr baseColWidth="10" defaultRowHeight="12.75" x14ac:dyDescent="0.2"/>
  <cols>
    <col min="1" max="1" width="16" style="640" customWidth="1"/>
    <col min="2" max="2" width="9.28515625" style="640" bestFit="1" customWidth="1"/>
    <col min="3" max="3" width="13.28515625" style="640" bestFit="1" customWidth="1"/>
    <col min="4" max="14" width="12.7109375" style="640" bestFit="1" customWidth="1"/>
    <col min="15" max="15" width="14.85546875" style="640" customWidth="1"/>
    <col min="16" max="16" width="13.7109375" style="640" bestFit="1" customWidth="1"/>
    <col min="17" max="16384" width="11.42578125" style="640"/>
  </cols>
  <sheetData>
    <row r="1" spans="1:15" ht="15.75" x14ac:dyDescent="0.25">
      <c r="A1" s="1235" t="s">
        <v>277</v>
      </c>
      <c r="B1" s="1235"/>
      <c r="C1" s="1235"/>
      <c r="D1" s="1235"/>
      <c r="E1" s="1235"/>
      <c r="F1" s="1235"/>
      <c r="G1" s="1235"/>
      <c r="H1" s="1235"/>
      <c r="I1" s="1235"/>
      <c r="J1" s="1235"/>
      <c r="K1" s="1235"/>
      <c r="L1" s="1235"/>
      <c r="M1" s="1235"/>
      <c r="N1" s="1235"/>
      <c r="O1" s="1235"/>
    </row>
    <row r="2" spans="1:15" x14ac:dyDescent="0.2">
      <c r="A2" s="1236" t="s">
        <v>278</v>
      </c>
      <c r="B2" s="1236"/>
      <c r="C2" s="1236"/>
      <c r="D2" s="1236"/>
      <c r="E2" s="1236"/>
      <c r="F2" s="1236"/>
      <c r="G2" s="1236"/>
      <c r="H2" s="1236"/>
      <c r="I2" s="1236"/>
      <c r="J2" s="1236"/>
      <c r="K2" s="1236"/>
      <c r="L2" s="1236"/>
      <c r="M2" s="1236"/>
      <c r="N2" s="1236"/>
      <c r="O2" s="1236"/>
    </row>
    <row r="3" spans="1:15" x14ac:dyDescent="0.2">
      <c r="A3" s="1236" t="s">
        <v>279</v>
      </c>
      <c r="B3" s="1236"/>
      <c r="C3" s="1236"/>
      <c r="D3" s="1236"/>
      <c r="E3" s="1236"/>
      <c r="F3" s="1236"/>
      <c r="G3" s="1236"/>
      <c r="H3" s="1236"/>
      <c r="I3" s="1236"/>
      <c r="J3" s="1236"/>
      <c r="K3" s="1236"/>
      <c r="L3" s="1236"/>
      <c r="M3" s="1236"/>
      <c r="N3" s="1236"/>
      <c r="O3" s="1236"/>
    </row>
    <row r="4" spans="1:15" x14ac:dyDescent="0.2">
      <c r="A4" s="1237" t="s">
        <v>360</v>
      </c>
      <c r="B4" s="1237"/>
      <c r="C4" s="1237"/>
      <c r="D4" s="1237"/>
      <c r="E4" s="1237"/>
      <c r="F4" s="1237"/>
      <c r="G4" s="1237"/>
      <c r="H4" s="1237"/>
      <c r="I4" s="1237"/>
      <c r="J4" s="1237"/>
      <c r="K4" s="1237"/>
      <c r="L4" s="1237"/>
      <c r="M4" s="1237"/>
      <c r="N4" s="1237"/>
      <c r="O4" s="1237"/>
    </row>
    <row r="5" spans="1:15" ht="13.5" thickBot="1" x14ac:dyDescent="0.25"/>
    <row r="6" spans="1:15" ht="34.5" thickBot="1" x14ac:dyDescent="0.25">
      <c r="A6" s="641" t="s">
        <v>13</v>
      </c>
      <c r="B6" s="687" t="s">
        <v>362</v>
      </c>
      <c r="C6" s="641" t="s">
        <v>1</v>
      </c>
      <c r="D6" s="643" t="s">
        <v>2</v>
      </c>
      <c r="E6" s="641" t="s">
        <v>3</v>
      </c>
      <c r="F6" s="643" t="s">
        <v>4</v>
      </c>
      <c r="G6" s="641" t="s">
        <v>5</v>
      </c>
      <c r="H6" s="641" t="s">
        <v>6</v>
      </c>
      <c r="I6" s="641" t="s">
        <v>7</v>
      </c>
      <c r="J6" s="643" t="s">
        <v>8</v>
      </c>
      <c r="K6" s="641" t="s">
        <v>9</v>
      </c>
      <c r="L6" s="643" t="s">
        <v>10</v>
      </c>
      <c r="M6" s="641" t="s">
        <v>11</v>
      </c>
      <c r="N6" s="641" t="s">
        <v>12</v>
      </c>
      <c r="O6" s="644" t="s">
        <v>168</v>
      </c>
    </row>
    <row r="7" spans="1:15" x14ac:dyDescent="0.2">
      <c r="A7" s="645" t="s">
        <v>282</v>
      </c>
      <c r="B7" s="646">
        <f>(FFM!G8+FFM!J8)/2</f>
        <v>2.2335835696521222</v>
      </c>
      <c r="C7" s="672">
        <f t="shared" ref="C7:C26" si="0">$C$32*B7/100</f>
        <v>99250.715412888036</v>
      </c>
      <c r="D7" s="673">
        <f t="shared" ref="D7:D26" si="1">$D$32*B7/100</f>
        <v>303275.59142451716</v>
      </c>
      <c r="E7" s="672">
        <f t="shared" ref="E7:E26" si="2">$E$32*B7/100</f>
        <v>74840.682633337652</v>
      </c>
      <c r="F7" s="673">
        <f t="shared" ref="F7:F26" si="3">$F$32*B7/100</f>
        <v>318058.18359472958</v>
      </c>
      <c r="G7" s="672">
        <f t="shared" ref="G7:G26" si="4">$G$32*B7/100</f>
        <v>113580.62526918609</v>
      </c>
      <c r="H7" s="672">
        <f t="shared" ref="H7:H26" si="5">$H$32*B7/100</f>
        <v>83971.795378975643</v>
      </c>
      <c r="I7" s="674">
        <f t="shared" ref="I7:I26" si="6">$I$32*B7/100</f>
        <v>64585.89840064937</v>
      </c>
      <c r="J7" s="673">
        <f t="shared" ref="J7:J26" si="7">$J$32*B7/100</f>
        <v>172656.85386297165</v>
      </c>
      <c r="K7" s="672">
        <f t="shared" ref="K7:K26" si="8">$K$32*B7/100</f>
        <v>77976.926834562109</v>
      </c>
      <c r="L7" s="673">
        <f t="shared" ref="L7:L26" si="9">$L$32*B7/100</f>
        <v>86244.459359449655</v>
      </c>
      <c r="M7" s="672">
        <f t="shared" ref="M7:M26" si="10">$M$32*B7/100</f>
        <v>108118.23336563697</v>
      </c>
      <c r="N7" s="672">
        <f t="shared" ref="N7:N26" si="11">$N$32*B7/100</f>
        <v>53242.922299224745</v>
      </c>
      <c r="O7" s="675">
        <f t="shared" ref="O7:O27" si="12">SUM(C7:N7)</f>
        <v>1555802.8878361285</v>
      </c>
    </row>
    <row r="8" spans="1:15" x14ac:dyDescent="0.2">
      <c r="A8" s="645" t="s">
        <v>147</v>
      </c>
      <c r="B8" s="646">
        <f>(FFM!G9+FFM!J9)/2</f>
        <v>0.95933399607646486</v>
      </c>
      <c r="C8" s="672">
        <f t="shared" si="0"/>
        <v>42628.620090236167</v>
      </c>
      <c r="D8" s="673">
        <f t="shared" si="1"/>
        <v>130258.20434336792</v>
      </c>
      <c r="E8" s="672">
        <f t="shared" si="2"/>
        <v>32144.403332494345</v>
      </c>
      <c r="F8" s="673">
        <f t="shared" si="3"/>
        <v>136607.39289028553</v>
      </c>
      <c r="G8" s="672">
        <f t="shared" si="4"/>
        <v>48783.379586429546</v>
      </c>
      <c r="H8" s="672">
        <f t="shared" si="5"/>
        <v>36066.256536429741</v>
      </c>
      <c r="I8" s="672">
        <f t="shared" si="6"/>
        <v>27739.928268067277</v>
      </c>
      <c r="J8" s="673">
        <f t="shared" si="7"/>
        <v>74156.880367880018</v>
      </c>
      <c r="K8" s="672">
        <f t="shared" si="8"/>
        <v>33491.434051699049</v>
      </c>
      <c r="L8" s="673">
        <f t="shared" si="9"/>
        <v>37042.375741347932</v>
      </c>
      <c r="M8" s="672">
        <f t="shared" si="10"/>
        <v>46437.258167841363</v>
      </c>
      <c r="N8" s="672">
        <f t="shared" si="11"/>
        <v>22868.069995724083</v>
      </c>
      <c r="O8" s="675">
        <f t="shared" si="12"/>
        <v>668224.20337180293</v>
      </c>
    </row>
    <row r="9" spans="1:15" x14ac:dyDescent="0.2">
      <c r="A9" s="645" t="s">
        <v>148</v>
      </c>
      <c r="B9" s="646">
        <f>(FFM!G10+FFM!J10)/2</f>
        <v>0.70155704419789178</v>
      </c>
      <c r="C9" s="672">
        <f t="shared" si="0"/>
        <v>31174.136256041973</v>
      </c>
      <c r="D9" s="673">
        <f t="shared" si="1"/>
        <v>95257.294326484349</v>
      </c>
      <c r="E9" s="672">
        <f t="shared" si="2"/>
        <v>23507.071240757043</v>
      </c>
      <c r="F9" s="673">
        <f t="shared" si="3"/>
        <v>99900.430052152486</v>
      </c>
      <c r="G9" s="672">
        <f t="shared" si="4"/>
        <v>35675.086808777487</v>
      </c>
      <c r="H9" s="672">
        <f t="shared" si="5"/>
        <v>26375.106516045715</v>
      </c>
      <c r="I9" s="672">
        <f t="shared" si="6"/>
        <v>20286.096564491654</v>
      </c>
      <c r="J9" s="673">
        <f t="shared" si="7"/>
        <v>54230.624590186868</v>
      </c>
      <c r="K9" s="672">
        <f t="shared" si="8"/>
        <v>24492.149319584645</v>
      </c>
      <c r="L9" s="673">
        <f t="shared" si="9"/>
        <v>27088.938515107511</v>
      </c>
      <c r="M9" s="672">
        <f t="shared" si="10"/>
        <v>33959.377770542902</v>
      </c>
      <c r="N9" s="672">
        <f t="shared" si="11"/>
        <v>16723.326451814744</v>
      </c>
      <c r="O9" s="675">
        <f t="shared" si="12"/>
        <v>488669.63841198734</v>
      </c>
    </row>
    <row r="10" spans="1:15" x14ac:dyDescent="0.2">
      <c r="A10" s="645" t="s">
        <v>283</v>
      </c>
      <c r="B10" s="646">
        <f>(FFM!G11+FFM!J11)/2</f>
        <v>28.518752621973793</v>
      </c>
      <c r="C10" s="672">
        <f t="shared" si="0"/>
        <v>1267249.0247834888</v>
      </c>
      <c r="D10" s="673">
        <f t="shared" si="1"/>
        <v>3872271.3068066128</v>
      </c>
      <c r="E10" s="672">
        <f t="shared" si="2"/>
        <v>955577.81812132103</v>
      </c>
      <c r="F10" s="673">
        <f t="shared" si="3"/>
        <v>4061017.8103813482</v>
      </c>
      <c r="G10" s="672">
        <f t="shared" si="4"/>
        <v>1450215.6080981207</v>
      </c>
      <c r="H10" s="672">
        <f t="shared" si="5"/>
        <v>1072165.3275811796</v>
      </c>
      <c r="I10" s="672">
        <f t="shared" si="6"/>
        <v>824643.09121101187</v>
      </c>
      <c r="J10" s="673">
        <f t="shared" si="7"/>
        <v>2204510.3530974081</v>
      </c>
      <c r="K10" s="672">
        <f t="shared" si="8"/>
        <v>995621.88620638067</v>
      </c>
      <c r="L10" s="673">
        <f t="shared" si="9"/>
        <v>1101183.0651454397</v>
      </c>
      <c r="M10" s="672">
        <f t="shared" si="10"/>
        <v>1380470.9137252781</v>
      </c>
      <c r="N10" s="672">
        <f t="shared" si="11"/>
        <v>679814.15629729722</v>
      </c>
      <c r="O10" s="675">
        <f t="shared" si="12"/>
        <v>19864740.361454889</v>
      </c>
    </row>
    <row r="11" spans="1:15" x14ac:dyDescent="0.2">
      <c r="A11" s="645" t="s">
        <v>150</v>
      </c>
      <c r="B11" s="646">
        <f>(FFM!G12+FFM!J12)/2</f>
        <v>5.4501426902487662</v>
      </c>
      <c r="C11" s="672">
        <f t="shared" si="0"/>
        <v>242180.57853718975</v>
      </c>
      <c r="D11" s="673">
        <f t="shared" si="1"/>
        <v>740019.43343030591</v>
      </c>
      <c r="E11" s="672">
        <f t="shared" si="2"/>
        <v>182617.92615659404</v>
      </c>
      <c r="F11" s="673">
        <f t="shared" si="3"/>
        <v>776090.2739191443</v>
      </c>
      <c r="G11" s="672">
        <f t="shared" si="4"/>
        <v>277146.83389310213</v>
      </c>
      <c r="H11" s="672">
        <f t="shared" si="5"/>
        <v>204898.65388966343</v>
      </c>
      <c r="I11" s="672">
        <f t="shared" si="6"/>
        <v>157595.33999270626</v>
      </c>
      <c r="J11" s="673">
        <f t="shared" si="7"/>
        <v>421298.08921776077</v>
      </c>
      <c r="K11" s="672">
        <f t="shared" si="8"/>
        <v>190270.64112118378</v>
      </c>
      <c r="L11" s="673">
        <f t="shared" si="9"/>
        <v>210444.15626032301</v>
      </c>
      <c r="M11" s="672">
        <f t="shared" si="10"/>
        <v>263818.11151669291</v>
      </c>
      <c r="N11" s="672">
        <f t="shared" si="11"/>
        <v>129917.46882423485</v>
      </c>
      <c r="O11" s="675">
        <f t="shared" si="12"/>
        <v>3796297.5067589013</v>
      </c>
    </row>
    <row r="12" spans="1:15" x14ac:dyDescent="0.2">
      <c r="A12" s="645" t="s">
        <v>284</v>
      </c>
      <c r="B12" s="646">
        <f>(FFM!G13+FFM!J13)/2</f>
        <v>1.932737074304012</v>
      </c>
      <c r="C12" s="672">
        <f t="shared" si="0"/>
        <v>85882.40885008029</v>
      </c>
      <c r="D12" s="673">
        <f t="shared" si="1"/>
        <v>262426.70623196458</v>
      </c>
      <c r="E12" s="672">
        <f t="shared" si="2"/>
        <v>64760.219387806806</v>
      </c>
      <c r="F12" s="673">
        <f t="shared" si="3"/>
        <v>275218.197148123</v>
      </c>
      <c r="G12" s="672">
        <f t="shared" si="4"/>
        <v>98282.19027174222</v>
      </c>
      <c r="H12" s="672">
        <f t="shared" si="5"/>
        <v>72661.441608873327</v>
      </c>
      <c r="I12" s="672">
        <f t="shared" si="6"/>
        <v>55886.675570240237</v>
      </c>
      <c r="J12" s="673">
        <f t="shared" si="7"/>
        <v>149401.30610184808</v>
      </c>
      <c r="K12" s="672">
        <f t="shared" si="8"/>
        <v>67474.035662306691</v>
      </c>
      <c r="L12" s="673">
        <f t="shared" si="9"/>
        <v>74627.995263806224</v>
      </c>
      <c r="M12" s="672">
        <f t="shared" si="10"/>
        <v>93555.540465658734</v>
      </c>
      <c r="N12" s="672">
        <f t="shared" si="11"/>
        <v>46071.510943298497</v>
      </c>
      <c r="O12" s="675">
        <f t="shared" si="12"/>
        <v>1346248.2275057486</v>
      </c>
    </row>
    <row r="13" spans="1:15" x14ac:dyDescent="0.2">
      <c r="A13" s="645" t="s">
        <v>152</v>
      </c>
      <c r="B13" s="646">
        <f>(FFM!G14+FFM!J14)/2</f>
        <v>0.50363861066423976</v>
      </c>
      <c r="C13" s="672">
        <f t="shared" si="0"/>
        <v>22379.503994007315</v>
      </c>
      <c r="D13" s="673">
        <f t="shared" si="1"/>
        <v>68383.963594972505</v>
      </c>
      <c r="E13" s="672">
        <f t="shared" si="2"/>
        <v>16875.418468666499</v>
      </c>
      <c r="F13" s="673">
        <f t="shared" si="3"/>
        <v>71717.20990094413</v>
      </c>
      <c r="G13" s="672">
        <f t="shared" si="4"/>
        <v>25610.677427152594</v>
      </c>
      <c r="H13" s="672">
        <f t="shared" si="5"/>
        <v>18934.343417576245</v>
      </c>
      <c r="I13" s="672">
        <f t="shared" si="6"/>
        <v>14563.122947788779</v>
      </c>
      <c r="J13" s="673">
        <f t="shared" si="7"/>
        <v>38931.454897274838</v>
      </c>
      <c r="K13" s="672">
        <f t="shared" si="8"/>
        <v>17582.593115574597</v>
      </c>
      <c r="L13" s="673">
        <f t="shared" si="9"/>
        <v>19446.794057518437</v>
      </c>
      <c r="M13" s="672">
        <f t="shared" si="10"/>
        <v>24378.992386760063</v>
      </c>
      <c r="N13" s="672">
        <f t="shared" si="11"/>
        <v>12005.456961103117</v>
      </c>
      <c r="O13" s="675">
        <f t="shared" si="12"/>
        <v>350809.53116933914</v>
      </c>
    </row>
    <row r="14" spans="1:15" x14ac:dyDescent="0.2">
      <c r="A14" s="645" t="s">
        <v>153</v>
      </c>
      <c r="B14" s="646">
        <f>(FFM!G15+FFM!J15)/2</f>
        <v>2.0797669518108313</v>
      </c>
      <c r="C14" s="672">
        <f t="shared" si="0"/>
        <v>92415.775556343229</v>
      </c>
      <c r="D14" s="673">
        <f t="shared" si="1"/>
        <v>282390.39761285158</v>
      </c>
      <c r="E14" s="672">
        <f t="shared" si="2"/>
        <v>69686.749359470312</v>
      </c>
      <c r="F14" s="673">
        <f t="shared" si="3"/>
        <v>296154.98071394133</v>
      </c>
      <c r="G14" s="672">
        <f t="shared" si="4"/>
        <v>105758.85049049431</v>
      </c>
      <c r="H14" s="672">
        <f t="shared" si="5"/>
        <v>78189.044406614805</v>
      </c>
      <c r="I14" s="672">
        <f t="shared" si="6"/>
        <v>60138.164907616738</v>
      </c>
      <c r="J14" s="673">
        <f t="shared" si="7"/>
        <v>160766.77118634424</v>
      </c>
      <c r="K14" s="672">
        <f t="shared" si="8"/>
        <v>72607.014860676034</v>
      </c>
      <c r="L14" s="673">
        <f t="shared" si="9"/>
        <v>80305.200481266118</v>
      </c>
      <c r="M14" s="672">
        <f t="shared" si="10"/>
        <v>100672.62837049105</v>
      </c>
      <c r="N14" s="672">
        <f t="shared" si="11"/>
        <v>49576.327351389897</v>
      </c>
      <c r="O14" s="675">
        <f t="shared" si="12"/>
        <v>1448661.9052974998</v>
      </c>
    </row>
    <row r="15" spans="1:15" x14ac:dyDescent="0.2">
      <c r="A15" s="645" t="s">
        <v>154</v>
      </c>
      <c r="B15" s="646">
        <f>(FFM!G16+FFM!J16)/2</f>
        <v>1.0450882606737879</v>
      </c>
      <c r="C15" s="672">
        <f t="shared" si="0"/>
        <v>46439.165720420948</v>
      </c>
      <c r="D15" s="673">
        <f t="shared" si="1"/>
        <v>141901.90358358854</v>
      </c>
      <c r="E15" s="672">
        <f t="shared" si="2"/>
        <v>35017.771398226985</v>
      </c>
      <c r="F15" s="673">
        <f t="shared" si="3"/>
        <v>148818.64211503445</v>
      </c>
      <c r="G15" s="672">
        <f t="shared" si="4"/>
        <v>53144.095310166798</v>
      </c>
      <c r="H15" s="672">
        <f t="shared" si="5"/>
        <v>39290.196601838834</v>
      </c>
      <c r="I15" s="672">
        <f t="shared" si="6"/>
        <v>30219.583068522195</v>
      </c>
      <c r="J15" s="673">
        <f t="shared" si="7"/>
        <v>80785.717422323709</v>
      </c>
      <c r="K15" s="672">
        <f t="shared" si="8"/>
        <v>36485.21234910057</v>
      </c>
      <c r="L15" s="673">
        <f t="shared" si="9"/>
        <v>40353.57049065172</v>
      </c>
      <c r="M15" s="672">
        <f t="shared" si="10"/>
        <v>50588.255568523353</v>
      </c>
      <c r="N15" s="672">
        <f t="shared" si="11"/>
        <v>24912.232438902134</v>
      </c>
      <c r="O15" s="675">
        <f t="shared" si="12"/>
        <v>727956.3460673003</v>
      </c>
    </row>
    <row r="16" spans="1:15" x14ac:dyDescent="0.2">
      <c r="A16" s="645" t="s">
        <v>155</v>
      </c>
      <c r="B16" s="646">
        <f>(FFM!G17+FFM!J17)/2</f>
        <v>0.60342006825220784</v>
      </c>
      <c r="C16" s="672">
        <f t="shared" si="0"/>
        <v>26813.356922146919</v>
      </c>
      <c r="D16" s="673">
        <f t="shared" si="1"/>
        <v>81932.272677450455</v>
      </c>
      <c r="E16" s="672">
        <f t="shared" si="2"/>
        <v>20218.795677156642</v>
      </c>
      <c r="F16" s="673">
        <f t="shared" si="3"/>
        <v>85925.905554004727</v>
      </c>
      <c r="G16" s="672">
        <f t="shared" si="4"/>
        <v>30684.694131563312</v>
      </c>
      <c r="H16" s="672">
        <f t="shared" si="5"/>
        <v>22685.637191866404</v>
      </c>
      <c r="I16" s="672">
        <f t="shared" si="6"/>
        <v>17448.385522964745</v>
      </c>
      <c r="J16" s="673">
        <f t="shared" si="7"/>
        <v>46644.59926987753</v>
      </c>
      <c r="K16" s="672">
        <f t="shared" si="8"/>
        <v>21066.076573950311</v>
      </c>
      <c r="L16" s="673">
        <f t="shared" si="9"/>
        <v>23299.615138715981</v>
      </c>
      <c r="M16" s="672">
        <f t="shared" si="10"/>
        <v>29208.986242212533</v>
      </c>
      <c r="N16" s="672">
        <f t="shared" si="11"/>
        <v>14383.9918256334</v>
      </c>
      <c r="O16" s="675">
        <f t="shared" si="12"/>
        <v>420312.31672754296</v>
      </c>
    </row>
    <row r="17" spans="1:16" x14ac:dyDescent="0.2">
      <c r="A17" s="645" t="s">
        <v>156</v>
      </c>
      <c r="B17" s="646">
        <f>(FFM!G18+FFM!J18)/2</f>
        <v>1.5254079353579721</v>
      </c>
      <c r="C17" s="672">
        <f t="shared" si="0"/>
        <v>67782.477870015515</v>
      </c>
      <c r="D17" s="673">
        <f t="shared" si="1"/>
        <v>207119.6260775651</v>
      </c>
      <c r="E17" s="672">
        <f t="shared" si="2"/>
        <v>51111.842300255412</v>
      </c>
      <c r="F17" s="673">
        <f t="shared" si="3"/>
        <v>217215.2785116107</v>
      </c>
      <c r="G17" s="672">
        <f t="shared" si="4"/>
        <v>77568.97455845862</v>
      </c>
      <c r="H17" s="672">
        <f t="shared" si="5"/>
        <v>57347.862313159552</v>
      </c>
      <c r="I17" s="672">
        <f t="shared" si="6"/>
        <v>44108.419882368071</v>
      </c>
      <c r="J17" s="673">
        <f t="shared" si="7"/>
        <v>117914.60975760069</v>
      </c>
      <c r="K17" s="672">
        <f t="shared" si="8"/>
        <v>53253.715054321801</v>
      </c>
      <c r="L17" s="673">
        <f t="shared" si="9"/>
        <v>58899.959900785179</v>
      </c>
      <c r="M17" s="672">
        <f t="shared" si="10"/>
        <v>73838.477939070115</v>
      </c>
      <c r="N17" s="672">
        <f t="shared" si="11"/>
        <v>36361.825579481148</v>
      </c>
      <c r="O17" s="675">
        <f t="shared" si="12"/>
        <v>1062523.0697446917</v>
      </c>
    </row>
    <row r="18" spans="1:16" x14ac:dyDescent="0.2">
      <c r="A18" s="645" t="s">
        <v>157</v>
      </c>
      <c r="B18" s="646">
        <f>(FFM!G19+FFM!J19)/2</f>
        <v>1.2091957444588881</v>
      </c>
      <c r="C18" s="672">
        <f t="shared" si="0"/>
        <v>53731.386791341938</v>
      </c>
      <c r="D18" s="673">
        <f t="shared" si="1"/>
        <v>164184.38939622694</v>
      </c>
      <c r="E18" s="672">
        <f t="shared" si="2"/>
        <v>40516.520707897616</v>
      </c>
      <c r="F18" s="673">
        <f t="shared" si="3"/>
        <v>172187.24533909914</v>
      </c>
      <c r="G18" s="672">
        <f t="shared" si="4"/>
        <v>61489.173986836846</v>
      </c>
      <c r="H18" s="672">
        <f t="shared" si="5"/>
        <v>45459.833697936956</v>
      </c>
      <c r="I18" s="672">
        <f t="shared" si="6"/>
        <v>34964.885379364976</v>
      </c>
      <c r="J18" s="673">
        <f t="shared" si="7"/>
        <v>93471.287924669887</v>
      </c>
      <c r="K18" s="672">
        <f t="shared" si="8"/>
        <v>42214.390083922415</v>
      </c>
      <c r="L18" s="673">
        <f t="shared" si="9"/>
        <v>46690.186415029246</v>
      </c>
      <c r="M18" s="672">
        <f t="shared" si="10"/>
        <v>58531.997396678176</v>
      </c>
      <c r="N18" s="672">
        <f t="shared" si="11"/>
        <v>28824.135322953276</v>
      </c>
      <c r="O18" s="675">
        <f t="shared" si="12"/>
        <v>842265.43244195729</v>
      </c>
    </row>
    <row r="19" spans="1:16" x14ac:dyDescent="0.2">
      <c r="A19" s="645" t="s">
        <v>158</v>
      </c>
      <c r="B19" s="646">
        <f>(FFM!G20+FFM!J20)/2</f>
        <v>2.0311174281066604</v>
      </c>
      <c r="C19" s="672">
        <f t="shared" si="0"/>
        <v>90254.002834811603</v>
      </c>
      <c r="D19" s="673">
        <f t="shared" si="1"/>
        <v>275784.77368439408</v>
      </c>
      <c r="E19" s="672">
        <f t="shared" si="2"/>
        <v>68056.649813038777</v>
      </c>
      <c r="F19" s="673">
        <f t="shared" si="3"/>
        <v>289227.37820453214</v>
      </c>
      <c r="G19" s="672">
        <f t="shared" si="4"/>
        <v>103284.95902905757</v>
      </c>
      <c r="H19" s="672">
        <f t="shared" si="5"/>
        <v>76360.060747674521</v>
      </c>
      <c r="I19" s="672">
        <f t="shared" si="6"/>
        <v>58731.424081847268</v>
      </c>
      <c r="J19" s="673">
        <f t="shared" si="7"/>
        <v>157006.14462245774</v>
      </c>
      <c r="K19" s="672">
        <f t="shared" si="8"/>
        <v>70908.60500399569</v>
      </c>
      <c r="L19" s="673">
        <f t="shared" si="9"/>
        <v>78426.716090993476</v>
      </c>
      <c r="M19" s="672">
        <f t="shared" si="10"/>
        <v>98317.712875749174</v>
      </c>
      <c r="N19" s="672">
        <f t="shared" si="11"/>
        <v>48416.647075411289</v>
      </c>
      <c r="O19" s="675">
        <f t="shared" si="12"/>
        <v>1414775.0740639635</v>
      </c>
    </row>
    <row r="20" spans="1:16" x14ac:dyDescent="0.2">
      <c r="A20" s="645" t="s">
        <v>285</v>
      </c>
      <c r="B20" s="646">
        <f>(FFM!G21+FFM!J21)/2</f>
        <v>0.4395779913734999</v>
      </c>
      <c r="C20" s="672">
        <f t="shared" si="0"/>
        <v>19532.929376972123</v>
      </c>
      <c r="D20" s="673">
        <f t="shared" si="1"/>
        <v>59685.823768735398</v>
      </c>
      <c r="E20" s="672">
        <f t="shared" si="2"/>
        <v>14728.939356456678</v>
      </c>
      <c r="F20" s="673">
        <f t="shared" si="3"/>
        <v>62595.095784238132</v>
      </c>
      <c r="G20" s="672">
        <f t="shared" si="4"/>
        <v>22353.111740766952</v>
      </c>
      <c r="H20" s="672">
        <f t="shared" si="5"/>
        <v>16525.978094683815</v>
      </c>
      <c r="I20" s="672">
        <f t="shared" si="6"/>
        <v>12710.757670209843</v>
      </c>
      <c r="J20" s="673">
        <f t="shared" si="7"/>
        <v>33979.544821675838</v>
      </c>
      <c r="K20" s="672">
        <f t="shared" si="8"/>
        <v>15346.1644941961</v>
      </c>
      <c r="L20" s="673">
        <f t="shared" si="9"/>
        <v>16973.247263913629</v>
      </c>
      <c r="M20" s="672">
        <f t="shared" si="10"/>
        <v>21278.091627939488</v>
      </c>
      <c r="N20" s="672">
        <f t="shared" si="11"/>
        <v>10478.415563736327</v>
      </c>
      <c r="O20" s="675">
        <f t="shared" si="12"/>
        <v>306188.0995635243</v>
      </c>
    </row>
    <row r="21" spans="1:16" x14ac:dyDescent="0.2">
      <c r="A21" s="645" t="s">
        <v>286</v>
      </c>
      <c r="B21" s="646">
        <f>(FFM!G22+FFM!J22)/2</f>
        <v>1.2366476598472038</v>
      </c>
      <c r="C21" s="672">
        <f t="shared" si="0"/>
        <v>54951.230220871083</v>
      </c>
      <c r="D21" s="673">
        <f t="shared" si="1"/>
        <v>167911.80572765347</v>
      </c>
      <c r="E21" s="672">
        <f t="shared" si="2"/>
        <v>41436.352011802745</v>
      </c>
      <c r="F21" s="673">
        <f t="shared" si="3"/>
        <v>176096.34749369806</v>
      </c>
      <c r="G21" s="672">
        <f t="shared" si="4"/>
        <v>62885.13953610319</v>
      </c>
      <c r="H21" s="672">
        <f t="shared" si="5"/>
        <v>46491.891174124263</v>
      </c>
      <c r="I21" s="672">
        <f t="shared" si="6"/>
        <v>35758.679998139472</v>
      </c>
      <c r="J21" s="673">
        <f t="shared" si="7"/>
        <v>95593.33135651573</v>
      </c>
      <c r="K21" s="672">
        <f t="shared" si="8"/>
        <v>43172.767476551911</v>
      </c>
      <c r="L21" s="673">
        <f t="shared" si="9"/>
        <v>47750.176125383077</v>
      </c>
      <c r="M21" s="672">
        <f t="shared" si="10"/>
        <v>59860.827280016689</v>
      </c>
      <c r="N21" s="672">
        <f t="shared" si="11"/>
        <v>29478.518806895463</v>
      </c>
      <c r="O21" s="675">
        <f t="shared" si="12"/>
        <v>861387.06720775529</v>
      </c>
    </row>
    <row r="22" spans="1:16" x14ac:dyDescent="0.2">
      <c r="A22" s="645" t="s">
        <v>287</v>
      </c>
      <c r="B22" s="646">
        <f>(FFM!G23+FFM!J23)/2</f>
        <v>4.9576265349074955</v>
      </c>
      <c r="C22" s="672">
        <f t="shared" si="0"/>
        <v>220295.30796383947</v>
      </c>
      <c r="D22" s="673">
        <f t="shared" si="1"/>
        <v>673145.67489862174</v>
      </c>
      <c r="E22" s="672">
        <f t="shared" si="2"/>
        <v>166115.18778830071</v>
      </c>
      <c r="F22" s="673">
        <f t="shared" si="3"/>
        <v>705956.88115636434</v>
      </c>
      <c r="G22" s="672">
        <f t="shared" si="4"/>
        <v>252101.74776384226</v>
      </c>
      <c r="H22" s="672">
        <f t="shared" si="5"/>
        <v>186382.46028084389</v>
      </c>
      <c r="I22" s="672">
        <f t="shared" si="6"/>
        <v>143353.83195076446</v>
      </c>
      <c r="J22" s="673">
        <f t="shared" si="7"/>
        <v>383226.40431941836</v>
      </c>
      <c r="K22" s="672">
        <f t="shared" si="8"/>
        <v>173076.34549164187</v>
      </c>
      <c r="L22" s="673">
        <f t="shared" si="9"/>
        <v>191426.82907349279</v>
      </c>
      <c r="M22" s="672">
        <f t="shared" si="10"/>
        <v>239977.5096502369</v>
      </c>
      <c r="N22" s="672">
        <f t="shared" si="11"/>
        <v>118177.14276424669</v>
      </c>
      <c r="O22" s="675">
        <f t="shared" si="12"/>
        <v>3453235.3231016141</v>
      </c>
    </row>
    <row r="23" spans="1:16" x14ac:dyDescent="0.2">
      <c r="A23" s="645" t="s">
        <v>162</v>
      </c>
      <c r="B23" s="646">
        <f>(FFM!G24+FFM!J24)/2</f>
        <v>1.8630473505185836</v>
      </c>
      <c r="C23" s="672">
        <f t="shared" si="0"/>
        <v>82785.701372191921</v>
      </c>
      <c r="D23" s="673">
        <f t="shared" si="1"/>
        <v>252964.24756939083</v>
      </c>
      <c r="E23" s="672">
        <f t="shared" si="2"/>
        <v>62425.125876422077</v>
      </c>
      <c r="F23" s="673">
        <f t="shared" si="3"/>
        <v>265294.50892639055</v>
      </c>
      <c r="G23" s="672">
        <f t="shared" si="4"/>
        <v>94738.377311290198</v>
      </c>
      <c r="H23" s="672">
        <f t="shared" si="5"/>
        <v>70041.449545339856</v>
      </c>
      <c r="I23" s="672">
        <f t="shared" si="6"/>
        <v>53871.540125509135</v>
      </c>
      <c r="J23" s="673">
        <f t="shared" si="7"/>
        <v>144014.26412192985</v>
      </c>
      <c r="K23" s="672">
        <f t="shared" si="8"/>
        <v>65041.088640949645</v>
      </c>
      <c r="L23" s="673">
        <f t="shared" si="9"/>
        <v>71937.094134138722</v>
      </c>
      <c r="M23" s="672">
        <f t="shared" si="10"/>
        <v>90182.158819323799</v>
      </c>
      <c r="N23" s="672">
        <f t="shared" si="11"/>
        <v>44410.286085193053</v>
      </c>
      <c r="O23" s="675">
        <f t="shared" si="12"/>
        <v>1297705.8425280696</v>
      </c>
    </row>
    <row r="24" spans="1:16" x14ac:dyDescent="0.2">
      <c r="A24" s="645" t="s">
        <v>163</v>
      </c>
      <c r="B24" s="646">
        <f>(FFM!G25+FFM!J25)/2</f>
        <v>35.788233689683715</v>
      </c>
      <c r="C24" s="672">
        <f t="shared" si="0"/>
        <v>1590273.0685012834</v>
      </c>
      <c r="D24" s="673">
        <f t="shared" si="1"/>
        <v>4859320.1909916038</v>
      </c>
      <c r="E24" s="672">
        <f t="shared" si="2"/>
        <v>1199156.3136339248</v>
      </c>
      <c r="F24" s="673">
        <f t="shared" si="3"/>
        <v>5096178.5160236284</v>
      </c>
      <c r="G24" s="672">
        <f t="shared" si="4"/>
        <v>1819878.1612577504</v>
      </c>
      <c r="H24" s="672">
        <f t="shared" si="5"/>
        <v>1345462.1878478178</v>
      </c>
      <c r="I24" s="672">
        <f t="shared" si="6"/>
        <v>1034846.0905721156</v>
      </c>
      <c r="J24" s="673">
        <f t="shared" si="7"/>
        <v>2766443.9863049244</v>
      </c>
      <c r="K24" s="672">
        <f t="shared" si="8"/>
        <v>1249407.6863187703</v>
      </c>
      <c r="L24" s="673">
        <f t="shared" si="9"/>
        <v>1381876.5986343364</v>
      </c>
      <c r="M24" s="672">
        <f t="shared" si="10"/>
        <v>1732355.4195054462</v>
      </c>
      <c r="N24" s="672">
        <f t="shared" si="11"/>
        <v>853100.00102799013</v>
      </c>
      <c r="O24" s="675">
        <f t="shared" si="12"/>
        <v>24928298.220619593</v>
      </c>
    </row>
    <row r="25" spans="1:16" x14ac:dyDescent="0.2">
      <c r="A25" s="645" t="s">
        <v>164</v>
      </c>
      <c r="B25" s="646">
        <f>(FFM!G26+FFM!J26)/2</f>
        <v>1.4883398017175709</v>
      </c>
      <c r="C25" s="672">
        <f t="shared" si="0"/>
        <v>66135.331628067026</v>
      </c>
      <c r="D25" s="673">
        <f t="shared" si="1"/>
        <v>202086.52129225965</v>
      </c>
      <c r="E25" s="672">
        <f t="shared" si="2"/>
        <v>49869.800380138891</v>
      </c>
      <c r="F25" s="673">
        <f t="shared" si="3"/>
        <v>211936.84460159187</v>
      </c>
      <c r="G25" s="672">
        <f t="shared" si="4"/>
        <v>75684.011822502303</v>
      </c>
      <c r="H25" s="672">
        <f t="shared" si="5"/>
        <v>55954.282159981274</v>
      </c>
      <c r="I25" s="672">
        <f t="shared" si="6"/>
        <v>43036.564436380198</v>
      </c>
      <c r="J25" s="673">
        <f t="shared" si="7"/>
        <v>115049.2290215127</v>
      </c>
      <c r="K25" s="672">
        <f t="shared" si="8"/>
        <v>51959.624614168031</v>
      </c>
      <c r="L25" s="673">
        <f t="shared" si="9"/>
        <v>57468.663042804554</v>
      </c>
      <c r="M25" s="672">
        <f t="shared" si="10"/>
        <v>72044.168033761423</v>
      </c>
      <c r="N25" s="672">
        <f t="shared" si="11"/>
        <v>35478.216035603393</v>
      </c>
      <c r="O25" s="675">
        <f t="shared" si="12"/>
        <v>1036703.2570687714</v>
      </c>
    </row>
    <row r="26" spans="1:16" ht="13.5" thickBot="1" x14ac:dyDescent="0.25">
      <c r="A26" s="645" t="s">
        <v>165</v>
      </c>
      <c r="B26" s="646">
        <f>(FFM!G27+FFM!J27)/2</f>
        <v>5.4327849761742959</v>
      </c>
      <c r="C26" s="672">
        <f t="shared" si="0"/>
        <v>241409.27740333878</v>
      </c>
      <c r="D26" s="673">
        <f t="shared" si="1"/>
        <v>737662.60601035284</v>
      </c>
      <c r="E26" s="672">
        <f t="shared" si="2"/>
        <v>182036.32124691521</v>
      </c>
      <c r="F26" s="673">
        <f t="shared" si="3"/>
        <v>773618.56742698804</v>
      </c>
      <c r="G26" s="672">
        <f t="shared" si="4"/>
        <v>276264.17158997228</v>
      </c>
      <c r="H26" s="672">
        <f t="shared" si="5"/>
        <v>204246.08891098428</v>
      </c>
      <c r="I26" s="678">
        <f t="shared" si="6"/>
        <v>157093.42747288238</v>
      </c>
      <c r="J26" s="673">
        <f t="shared" si="7"/>
        <v>419956.33136143052</v>
      </c>
      <c r="K26" s="672">
        <f t="shared" si="8"/>
        <v>189664.66370498575</v>
      </c>
      <c r="L26" s="673">
        <f t="shared" si="9"/>
        <v>209773.9298643159</v>
      </c>
      <c r="M26" s="672">
        <f t="shared" si="10"/>
        <v>262977.89877225104</v>
      </c>
      <c r="N26" s="672">
        <f t="shared" si="11"/>
        <v>129503.70529449008</v>
      </c>
      <c r="O26" s="675">
        <f t="shared" si="12"/>
        <v>3784206.9890589071</v>
      </c>
    </row>
    <row r="27" spans="1:16" ht="13.5" thickBot="1" x14ac:dyDescent="0.25">
      <c r="A27" s="650" t="s">
        <v>288</v>
      </c>
      <c r="B27" s="666">
        <f t="shared" ref="B27:N27" si="13">SUM(B7:B26)</f>
        <v>100</v>
      </c>
      <c r="C27" s="680">
        <f t="shared" si="13"/>
        <v>4443564.0000855755</v>
      </c>
      <c r="D27" s="680">
        <f t="shared" si="13"/>
        <v>13577982.733448919</v>
      </c>
      <c r="E27" s="680">
        <f t="shared" si="13"/>
        <v>3350699.9088909836</v>
      </c>
      <c r="F27" s="680">
        <f t="shared" si="13"/>
        <v>14239815.689737851</v>
      </c>
      <c r="G27" s="680">
        <f t="shared" si="13"/>
        <v>5085129.8698833166</v>
      </c>
      <c r="H27" s="680">
        <f t="shared" si="13"/>
        <v>3759509.8979016095</v>
      </c>
      <c r="I27" s="680">
        <f t="shared" si="13"/>
        <v>2891581.90802364</v>
      </c>
      <c r="J27" s="680">
        <f t="shared" si="13"/>
        <v>7730037.7836260125</v>
      </c>
      <c r="K27" s="680">
        <f t="shared" si="13"/>
        <v>3491113.0209785216</v>
      </c>
      <c r="L27" s="680">
        <f t="shared" si="13"/>
        <v>3861259.5709988195</v>
      </c>
      <c r="M27" s="680">
        <f t="shared" si="13"/>
        <v>4840572.5594801102</v>
      </c>
      <c r="N27" s="680">
        <f t="shared" si="13"/>
        <v>2383744.3569446234</v>
      </c>
      <c r="O27" s="680">
        <f t="shared" si="12"/>
        <v>69655011.299999982</v>
      </c>
    </row>
    <row r="28" spans="1:16" x14ac:dyDescent="0.2">
      <c r="A28" s="653"/>
      <c r="B28" s="653"/>
      <c r="C28" s="653"/>
      <c r="D28" s="653"/>
      <c r="E28" s="653"/>
      <c r="F28" s="653"/>
      <c r="G28" s="653"/>
      <c r="H28" s="653"/>
      <c r="I28" s="653"/>
      <c r="J28" s="653"/>
      <c r="K28" s="653"/>
      <c r="L28" s="653"/>
      <c r="M28" s="653"/>
      <c r="N28" s="653"/>
      <c r="O28" s="653"/>
      <c r="P28" s="649"/>
    </row>
    <row r="29" spans="1:16" x14ac:dyDescent="0.2">
      <c r="A29" s="654" t="s">
        <v>168</v>
      </c>
      <c r="C29" s="649">
        <f>'X22.55 POE'!B22</f>
        <v>41779597.571550831</v>
      </c>
      <c r="D29" s="649">
        <f>'X22.55 POE'!C22</f>
        <v>60331272.190641306</v>
      </c>
      <c r="E29" s="649">
        <f>'X22.55 POE'!D22</f>
        <v>39361786.155558549</v>
      </c>
      <c r="F29" s="649">
        <f>'X22.55 POE'!E22</f>
        <v>58498394.842482641</v>
      </c>
      <c r="G29" s="649">
        <f>'X22.55 POE'!F22</f>
        <v>39536998.242690451</v>
      </c>
      <c r="H29" s="649">
        <f>'X22.55 POE'!G22</f>
        <v>39936942.425573736</v>
      </c>
      <c r="I29" s="649">
        <f>'X22.55 POE'!H22</f>
        <v>42796954.297176637</v>
      </c>
      <c r="J29" s="649">
        <f>'X22.55 POE'!I22</f>
        <v>44295282.119465731</v>
      </c>
      <c r="K29" s="649">
        <f>'X22.55 POE'!J22</f>
        <v>42075908.315683603</v>
      </c>
      <c r="L29" s="649">
        <f>'X22.55 POE'!K22</f>
        <v>42518313.101426885</v>
      </c>
      <c r="M29" s="649">
        <f>'X22.55 POE'!L22</f>
        <v>40156806.656400159</v>
      </c>
      <c r="N29" s="649">
        <f>'X22.55 POE'!M22</f>
        <v>40692447.08134947</v>
      </c>
      <c r="O29" s="649">
        <f>SUM(C29:N29)</f>
        <v>531980703.00000006</v>
      </c>
    </row>
    <row r="30" spans="1:16" x14ac:dyDescent="0.2">
      <c r="A30" s="640" t="s">
        <v>361</v>
      </c>
      <c r="C30" s="649">
        <f>'F.F.M.ESTIIMACIONES 2014'!C27</f>
        <v>35431649.000000007</v>
      </c>
      <c r="D30" s="649">
        <f>'F.F.M.ESTIIMACIONES 2014'!D27</f>
        <v>40934153.999999993</v>
      </c>
      <c r="E30" s="649">
        <f>'F.F.M.ESTIIMACIONES 2014'!E27</f>
        <v>34575072</v>
      </c>
      <c r="F30" s="649">
        <f>'F.F.M.ESTIIMACIONES 2014'!F27</f>
        <v>38155801</v>
      </c>
      <c r="G30" s="649">
        <f>'F.F.M.ESTIIMACIONES 2014'!G27</f>
        <v>32272527</v>
      </c>
      <c r="H30" s="649">
        <f>'F.F.M.ESTIIMACIONES 2014'!H27</f>
        <v>34566214.000000007</v>
      </c>
      <c r="I30" s="649">
        <f>'F.F.M.ESTIIMACIONES 2014'!I27</f>
        <v>38666123.000000007</v>
      </c>
      <c r="J30" s="649">
        <f>'F.F.M.ESTIIMACIONES 2014'!J27</f>
        <v>33252371</v>
      </c>
      <c r="K30" s="649">
        <f>'F.F.M.ESTIIMACIONES 2014'!K27</f>
        <v>37088604</v>
      </c>
      <c r="L30" s="649">
        <f>'F.F.M.ESTIIMACIONES 2014'!L27</f>
        <v>37002228</v>
      </c>
      <c r="M30" s="649">
        <f>'F.F.M.ESTIIMACIONES 2014'!M27</f>
        <v>33241703</v>
      </c>
      <c r="N30" s="649">
        <f>'F.F.M.ESTIIMACIONES 2014'!N27</f>
        <v>37287098.000000007</v>
      </c>
      <c r="O30" s="649">
        <f>SUM(C30:N30)</f>
        <v>432473544</v>
      </c>
    </row>
    <row r="31" spans="1:16" x14ac:dyDescent="0.2">
      <c r="A31" s="640" t="s">
        <v>350</v>
      </c>
      <c r="C31" s="649">
        <f>C29-C30</f>
        <v>6347948.5715508237</v>
      </c>
      <c r="D31" s="649">
        <f t="shared" ref="D31:N31" si="14">D29-D30</f>
        <v>19397118.190641314</v>
      </c>
      <c r="E31" s="649">
        <f t="shared" si="14"/>
        <v>4786714.1555585489</v>
      </c>
      <c r="F31" s="649">
        <f t="shared" si="14"/>
        <v>20342593.842482641</v>
      </c>
      <c r="G31" s="649">
        <f t="shared" si="14"/>
        <v>7264471.2426904514</v>
      </c>
      <c r="H31" s="649">
        <f t="shared" si="14"/>
        <v>5370728.425573729</v>
      </c>
      <c r="I31" s="649">
        <f t="shared" si="14"/>
        <v>4130831.2971766293</v>
      </c>
      <c r="J31" s="649">
        <f t="shared" si="14"/>
        <v>11042911.119465731</v>
      </c>
      <c r="K31" s="649">
        <f t="shared" si="14"/>
        <v>4987304.3156836033</v>
      </c>
      <c r="L31" s="649">
        <f t="shared" si="14"/>
        <v>5516085.1014268845</v>
      </c>
      <c r="M31" s="649">
        <f t="shared" si="14"/>
        <v>6915103.656400159</v>
      </c>
      <c r="N31" s="649">
        <f t="shared" si="14"/>
        <v>3405349.0813494623</v>
      </c>
      <c r="O31" s="649">
        <f t="shared" ref="O31" si="15">O29-O30</f>
        <v>99507159.00000006</v>
      </c>
    </row>
    <row r="32" spans="1:16" x14ac:dyDescent="0.2">
      <c r="A32" s="688">
        <v>0.7</v>
      </c>
      <c r="B32" s="688"/>
      <c r="C32" s="649">
        <f>C31*0.7</f>
        <v>4443564.0000855764</v>
      </c>
      <c r="D32" s="649">
        <f t="shared" ref="D32:N32" si="16">D31*0.7</f>
        <v>13577982.733448919</v>
      </c>
      <c r="E32" s="649">
        <f t="shared" si="16"/>
        <v>3350699.908890984</v>
      </c>
      <c r="F32" s="649">
        <f t="shared" si="16"/>
        <v>14239815.689737849</v>
      </c>
      <c r="G32" s="649">
        <f t="shared" si="16"/>
        <v>5085129.8698833156</v>
      </c>
      <c r="H32" s="649">
        <f t="shared" si="16"/>
        <v>3759509.89790161</v>
      </c>
      <c r="I32" s="649">
        <f t="shared" si="16"/>
        <v>2891581.9080236405</v>
      </c>
      <c r="J32" s="649">
        <f t="shared" si="16"/>
        <v>7730037.7836260116</v>
      </c>
      <c r="K32" s="649">
        <f t="shared" si="16"/>
        <v>3491113.020978522</v>
      </c>
      <c r="L32" s="649">
        <f t="shared" si="16"/>
        <v>3861259.5709988191</v>
      </c>
      <c r="M32" s="649">
        <f t="shared" si="16"/>
        <v>4840572.5594801111</v>
      </c>
      <c r="N32" s="649">
        <f t="shared" si="16"/>
        <v>2383744.3569446234</v>
      </c>
      <c r="O32" s="649">
        <f t="shared" ref="O32" si="17">O31*0.7</f>
        <v>69655011.300000042</v>
      </c>
    </row>
    <row r="33" spans="1:15" x14ac:dyDescent="0.2">
      <c r="A33" s="688">
        <v>0.3</v>
      </c>
      <c r="B33" s="688"/>
      <c r="C33" s="649">
        <f>C31*0.3</f>
        <v>1904384.5714652471</v>
      </c>
      <c r="D33" s="649">
        <f t="shared" ref="D33:N33" si="18">D31*0.3</f>
        <v>5819135.457192394</v>
      </c>
      <c r="E33" s="649">
        <f t="shared" si="18"/>
        <v>1436014.2466675646</v>
      </c>
      <c r="F33" s="649">
        <f t="shared" si="18"/>
        <v>6102778.1527447924</v>
      </c>
      <c r="G33" s="649">
        <f t="shared" si="18"/>
        <v>2179341.3728071353</v>
      </c>
      <c r="H33" s="649">
        <f t="shared" si="18"/>
        <v>1611218.5276721187</v>
      </c>
      <c r="I33" s="649">
        <f t="shared" si="18"/>
        <v>1239249.3891529888</v>
      </c>
      <c r="J33" s="649">
        <f t="shared" si="18"/>
        <v>3312873.335839719</v>
      </c>
      <c r="K33" s="649">
        <f t="shared" si="18"/>
        <v>1496191.294705081</v>
      </c>
      <c r="L33" s="649">
        <f t="shared" si="18"/>
        <v>1654825.5304280652</v>
      </c>
      <c r="M33" s="649">
        <f t="shared" si="18"/>
        <v>2074531.0969200477</v>
      </c>
      <c r="N33" s="649">
        <f t="shared" si="18"/>
        <v>1021604.7244048386</v>
      </c>
      <c r="O33" s="649">
        <f t="shared" ref="O33" si="19">O31*0.3</f>
        <v>29852147.700000018</v>
      </c>
    </row>
    <row r="37" spans="1:15" x14ac:dyDescent="0.2">
      <c r="B37" s="640">
        <f>FFM!G8+FFM!J8</f>
        <v>4.4671671393042445</v>
      </c>
    </row>
    <row r="38" spans="1:15" x14ac:dyDescent="0.2">
      <c r="B38" s="640">
        <f>B37/2</f>
        <v>2.2335835696521222</v>
      </c>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5"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5" tint="0.59999389629810485"/>
  </sheetPr>
  <dimension ref="A1:P32"/>
  <sheetViews>
    <sheetView workbookViewId="0">
      <selection activeCell="C8" sqref="C8"/>
    </sheetView>
  </sheetViews>
  <sheetFormatPr baseColWidth="10" defaultRowHeight="12.75" x14ac:dyDescent="0.2"/>
  <cols>
    <col min="1" max="1" width="16" style="640" customWidth="1"/>
    <col min="2" max="2" width="9.28515625" style="640" bestFit="1" customWidth="1"/>
    <col min="3" max="12" width="10.85546875" style="640" bestFit="1" customWidth="1"/>
    <col min="13" max="13" width="11.7109375" style="640" bestFit="1" customWidth="1"/>
    <col min="14" max="14" width="10.85546875" style="640" bestFit="1" customWidth="1"/>
    <col min="15" max="16" width="13.7109375" style="640" bestFit="1" customWidth="1"/>
    <col min="17" max="16384" width="11.42578125" style="640"/>
  </cols>
  <sheetData>
    <row r="1" spans="1:15" ht="15.75" x14ac:dyDescent="0.25">
      <c r="A1" s="1235" t="s">
        <v>277</v>
      </c>
      <c r="B1" s="1235"/>
      <c r="C1" s="1235"/>
      <c r="D1" s="1235"/>
      <c r="E1" s="1235"/>
      <c r="F1" s="1235"/>
      <c r="G1" s="1235"/>
      <c r="H1" s="1235"/>
      <c r="I1" s="1235"/>
      <c r="J1" s="1235"/>
      <c r="K1" s="1235"/>
      <c r="L1" s="1235"/>
      <c r="M1" s="1235"/>
      <c r="N1" s="1235"/>
      <c r="O1" s="1235"/>
    </row>
    <row r="2" spans="1:15" x14ac:dyDescent="0.2">
      <c r="A2" s="1236" t="s">
        <v>278</v>
      </c>
      <c r="B2" s="1236"/>
      <c r="C2" s="1236"/>
      <c r="D2" s="1236"/>
      <c r="E2" s="1236"/>
      <c r="F2" s="1236"/>
      <c r="G2" s="1236"/>
      <c r="H2" s="1236"/>
      <c r="I2" s="1236"/>
      <c r="J2" s="1236"/>
      <c r="K2" s="1236"/>
      <c r="L2" s="1236"/>
      <c r="M2" s="1236"/>
      <c r="N2" s="1236"/>
      <c r="O2" s="1236"/>
    </row>
    <row r="3" spans="1:15" x14ac:dyDescent="0.2">
      <c r="A3" s="1236" t="s">
        <v>279</v>
      </c>
      <c r="B3" s="1236"/>
      <c r="C3" s="1236"/>
      <c r="D3" s="1236"/>
      <c r="E3" s="1236"/>
      <c r="F3" s="1236"/>
      <c r="G3" s="1236"/>
      <c r="H3" s="1236"/>
      <c r="I3" s="1236"/>
      <c r="J3" s="1236"/>
      <c r="K3" s="1236"/>
      <c r="L3" s="1236"/>
      <c r="M3" s="1236"/>
      <c r="N3" s="1236"/>
      <c r="O3" s="1236"/>
    </row>
    <row r="4" spans="1:15" x14ac:dyDescent="0.2">
      <c r="A4" s="1237" t="s">
        <v>360</v>
      </c>
      <c r="B4" s="1237"/>
      <c r="C4" s="1237"/>
      <c r="D4" s="1237"/>
      <c r="E4" s="1237"/>
      <c r="F4" s="1237"/>
      <c r="G4" s="1237"/>
      <c r="H4" s="1237"/>
      <c r="I4" s="1237"/>
      <c r="J4" s="1237"/>
      <c r="K4" s="1237"/>
      <c r="L4" s="1237"/>
      <c r="M4" s="1237"/>
      <c r="N4" s="1237"/>
      <c r="O4" s="1237"/>
    </row>
    <row r="5" spans="1:15" ht="13.5" thickBot="1" x14ac:dyDescent="0.25"/>
    <row r="6" spans="1:15" ht="23.25" thickBot="1" x14ac:dyDescent="0.25">
      <c r="A6" s="641" t="s">
        <v>346</v>
      </c>
      <c r="B6" s="642" t="s">
        <v>281</v>
      </c>
      <c r="C6" s="641" t="s">
        <v>1</v>
      </c>
      <c r="D6" s="643" t="s">
        <v>2</v>
      </c>
      <c r="E6" s="641" t="s">
        <v>3</v>
      </c>
      <c r="F6" s="643" t="s">
        <v>4</v>
      </c>
      <c r="G6" s="641" t="s">
        <v>5</v>
      </c>
      <c r="H6" s="641" t="s">
        <v>6</v>
      </c>
      <c r="I6" s="641" t="s">
        <v>7</v>
      </c>
      <c r="J6" s="643" t="s">
        <v>8</v>
      </c>
      <c r="K6" s="641" t="s">
        <v>9</v>
      </c>
      <c r="L6" s="643" t="s">
        <v>10</v>
      </c>
      <c r="M6" s="641" t="s">
        <v>11</v>
      </c>
      <c r="N6" s="641" t="s">
        <v>12</v>
      </c>
      <c r="O6" s="644" t="s">
        <v>168</v>
      </c>
    </row>
    <row r="7" spans="1:15" x14ac:dyDescent="0.2">
      <c r="A7" s="645" t="s">
        <v>282</v>
      </c>
      <c r="B7" s="665">
        <v>3.6200000000000003E-2</v>
      </c>
      <c r="C7" s="672">
        <v>1282625.6938</v>
      </c>
      <c r="D7" s="673">
        <v>1481816.3748000001</v>
      </c>
      <c r="E7" s="672">
        <v>1251617.6064000002</v>
      </c>
      <c r="F7" s="673">
        <v>1381239.9962000002</v>
      </c>
      <c r="G7" s="672">
        <v>1168265.4774000002</v>
      </c>
      <c r="H7" s="672">
        <v>1251296.9468</v>
      </c>
      <c r="I7" s="674">
        <v>1399713.6526000001</v>
      </c>
      <c r="J7" s="673">
        <v>1203735.8302000002</v>
      </c>
      <c r="K7" s="672">
        <v>1342607.4648000002</v>
      </c>
      <c r="L7" s="673">
        <v>1339480.6536000001</v>
      </c>
      <c r="M7" s="672">
        <v>1203349.6486000002</v>
      </c>
      <c r="N7" s="672">
        <v>1349792.9476000001</v>
      </c>
      <c r="O7" s="675">
        <f t="shared" ref="O7:O27" si="0">SUM(C7:N7)</f>
        <v>15655542.2928</v>
      </c>
    </row>
    <row r="8" spans="1:15" x14ac:dyDescent="0.2">
      <c r="A8" s="645" t="s">
        <v>147</v>
      </c>
      <c r="B8" s="665">
        <v>2.47E-2</v>
      </c>
      <c r="C8" s="672">
        <v>875161.73029999994</v>
      </c>
      <c r="D8" s="673">
        <v>1011073.6038</v>
      </c>
      <c r="E8" s="672">
        <v>854004.27839999995</v>
      </c>
      <c r="F8" s="673">
        <v>942448.28469999996</v>
      </c>
      <c r="G8" s="672">
        <v>797131.41689999995</v>
      </c>
      <c r="H8" s="672">
        <v>853785.48580000002</v>
      </c>
      <c r="I8" s="672">
        <v>955053.23809999996</v>
      </c>
      <c r="J8" s="673">
        <v>821333.56369999994</v>
      </c>
      <c r="K8" s="672">
        <v>916088.51879999996</v>
      </c>
      <c r="L8" s="673">
        <v>913955.03159999999</v>
      </c>
      <c r="M8" s="672">
        <v>821070.06409999996</v>
      </c>
      <c r="N8" s="672">
        <v>920991.32059999998</v>
      </c>
      <c r="O8" s="675">
        <f t="shared" si="0"/>
        <v>10682096.536799997</v>
      </c>
    </row>
    <row r="9" spans="1:15" x14ac:dyDescent="0.2">
      <c r="A9" s="645" t="s">
        <v>148</v>
      </c>
      <c r="B9" s="665">
        <v>2.3300000000000001E-2</v>
      </c>
      <c r="C9" s="672">
        <v>825557.42170000006</v>
      </c>
      <c r="D9" s="673">
        <v>953765.78820000007</v>
      </c>
      <c r="E9" s="672">
        <v>805599.17760000005</v>
      </c>
      <c r="F9" s="673">
        <v>889030.16330000001</v>
      </c>
      <c r="G9" s="672">
        <v>751949.87910000002</v>
      </c>
      <c r="H9" s="672">
        <v>805392.78620000009</v>
      </c>
      <c r="I9" s="672">
        <v>900920.66590000002</v>
      </c>
      <c r="J9" s="673">
        <v>774780.24430000002</v>
      </c>
      <c r="K9" s="672">
        <v>864164.47320000001</v>
      </c>
      <c r="L9" s="673">
        <v>862151.91240000003</v>
      </c>
      <c r="M9" s="672">
        <v>774531.67989999999</v>
      </c>
      <c r="N9" s="672">
        <v>868789.38340000005</v>
      </c>
      <c r="O9" s="675">
        <f t="shared" si="0"/>
        <v>10076633.575200001</v>
      </c>
    </row>
    <row r="10" spans="1:15" x14ac:dyDescent="0.2">
      <c r="A10" s="645" t="s">
        <v>283</v>
      </c>
      <c r="B10" s="665">
        <v>2.81E-2</v>
      </c>
      <c r="C10" s="672">
        <v>995629.33689999999</v>
      </c>
      <c r="D10" s="673">
        <v>1150249.7274</v>
      </c>
      <c r="E10" s="672">
        <v>971559.52320000005</v>
      </c>
      <c r="F10" s="673">
        <v>1072178.0081</v>
      </c>
      <c r="G10" s="672">
        <v>906858.00870000001</v>
      </c>
      <c r="H10" s="672">
        <v>971310.61340000003</v>
      </c>
      <c r="I10" s="672">
        <v>1086518.0563000001</v>
      </c>
      <c r="J10" s="673">
        <v>934391.62509999995</v>
      </c>
      <c r="K10" s="672">
        <v>1042189.7724</v>
      </c>
      <c r="L10" s="673">
        <v>1039762.6068</v>
      </c>
      <c r="M10" s="672">
        <v>934091.85430000001</v>
      </c>
      <c r="N10" s="672">
        <v>1047767.4538</v>
      </c>
      <c r="O10" s="675">
        <f t="shared" si="0"/>
        <v>12152506.586399999</v>
      </c>
    </row>
    <row r="11" spans="1:15" x14ac:dyDescent="0.2">
      <c r="A11" s="645" t="s">
        <v>150</v>
      </c>
      <c r="B11" s="665">
        <v>4.6399999999999997E-2</v>
      </c>
      <c r="C11" s="672">
        <v>1644028.5135999999</v>
      </c>
      <c r="D11" s="673">
        <v>1899344.7455999998</v>
      </c>
      <c r="E11" s="672">
        <v>1604283.3407999999</v>
      </c>
      <c r="F11" s="673">
        <v>1770429.1664</v>
      </c>
      <c r="G11" s="672">
        <v>1497445.2527999999</v>
      </c>
      <c r="H11" s="672">
        <v>1603872.3295999998</v>
      </c>
      <c r="I11" s="672">
        <v>1794108.1072</v>
      </c>
      <c r="J11" s="673">
        <v>1542910.0144</v>
      </c>
      <c r="K11" s="672">
        <v>1720911.2255999998</v>
      </c>
      <c r="L11" s="673">
        <v>1716903.3791999999</v>
      </c>
      <c r="M11" s="672">
        <v>1542415.0192</v>
      </c>
      <c r="N11" s="672">
        <v>1730121.3472</v>
      </c>
      <c r="O11" s="675">
        <f t="shared" si="0"/>
        <v>20066772.441599999</v>
      </c>
    </row>
    <row r="12" spans="1:15" x14ac:dyDescent="0.2">
      <c r="A12" s="645" t="s">
        <v>284</v>
      </c>
      <c r="B12" s="665">
        <v>1.4999999999999999E-2</v>
      </c>
      <c r="C12" s="672">
        <v>531474.73499999999</v>
      </c>
      <c r="D12" s="673">
        <v>614012.30999999994</v>
      </c>
      <c r="E12" s="672">
        <v>518626.07999999996</v>
      </c>
      <c r="F12" s="673">
        <v>572337.01500000001</v>
      </c>
      <c r="G12" s="672">
        <v>484087.90499999997</v>
      </c>
      <c r="H12" s="672">
        <v>518493.20999999996</v>
      </c>
      <c r="I12" s="672">
        <v>579991.84499999997</v>
      </c>
      <c r="J12" s="673">
        <v>498785.565</v>
      </c>
      <c r="K12" s="672">
        <v>556329.05999999994</v>
      </c>
      <c r="L12" s="673">
        <v>555033.41999999993</v>
      </c>
      <c r="M12" s="672">
        <v>498625.54499999998</v>
      </c>
      <c r="N12" s="672">
        <v>559306.47</v>
      </c>
      <c r="O12" s="675">
        <f t="shared" si="0"/>
        <v>6487103.1599999992</v>
      </c>
    </row>
    <row r="13" spans="1:15" x14ac:dyDescent="0.2">
      <c r="A13" s="645" t="s">
        <v>152</v>
      </c>
      <c r="B13" s="665">
        <v>1.5299999999999999E-2</v>
      </c>
      <c r="C13" s="672">
        <v>542104.22970000003</v>
      </c>
      <c r="D13" s="673">
        <v>626292.55619999999</v>
      </c>
      <c r="E13" s="672">
        <v>528998.60159999994</v>
      </c>
      <c r="F13" s="673">
        <v>583783.75529999996</v>
      </c>
      <c r="G13" s="672">
        <v>493769.66310000001</v>
      </c>
      <c r="H13" s="672">
        <v>528863.07420000003</v>
      </c>
      <c r="I13" s="672">
        <v>591591.68189999997</v>
      </c>
      <c r="J13" s="673">
        <v>508761.27629999997</v>
      </c>
      <c r="K13" s="672">
        <v>567455.64119999995</v>
      </c>
      <c r="L13" s="673">
        <v>566134.08840000001</v>
      </c>
      <c r="M13" s="672">
        <v>508598.05589999998</v>
      </c>
      <c r="N13" s="672">
        <v>570492.59939999995</v>
      </c>
      <c r="O13" s="675">
        <f t="shared" si="0"/>
        <v>6616845.223199999</v>
      </c>
    </row>
    <row r="14" spans="1:15" x14ac:dyDescent="0.2">
      <c r="A14" s="645" t="s">
        <v>153</v>
      </c>
      <c r="B14" s="665">
        <v>3.1600000000000003E-2</v>
      </c>
      <c r="C14" s="672">
        <v>1119640.1084</v>
      </c>
      <c r="D14" s="673">
        <v>1293519.2664000001</v>
      </c>
      <c r="E14" s="672">
        <v>1092572.2752</v>
      </c>
      <c r="F14" s="673">
        <v>1205723.3116000001</v>
      </c>
      <c r="G14" s="672">
        <v>1019811.8532000001</v>
      </c>
      <c r="H14" s="672">
        <v>1092292.3624000002</v>
      </c>
      <c r="I14" s="672">
        <v>1221849.4868000001</v>
      </c>
      <c r="J14" s="673">
        <v>1050774.9236000001</v>
      </c>
      <c r="K14" s="672">
        <v>1171999.8864000002</v>
      </c>
      <c r="L14" s="673">
        <v>1169270.4048000001</v>
      </c>
      <c r="M14" s="672">
        <v>1050437.8148000001</v>
      </c>
      <c r="N14" s="672">
        <v>1178272.2968000001</v>
      </c>
      <c r="O14" s="675">
        <f t="shared" si="0"/>
        <v>13666163.9904</v>
      </c>
    </row>
    <row r="15" spans="1:15" x14ac:dyDescent="0.2">
      <c r="A15" s="645" t="s">
        <v>154</v>
      </c>
      <c r="B15" s="665">
        <v>2.81E-2</v>
      </c>
      <c r="C15" s="672">
        <v>995629.33689999999</v>
      </c>
      <c r="D15" s="673">
        <v>1150249.7274</v>
      </c>
      <c r="E15" s="672">
        <v>971559.52320000005</v>
      </c>
      <c r="F15" s="673">
        <v>1072178.0081</v>
      </c>
      <c r="G15" s="672">
        <v>906858.00870000001</v>
      </c>
      <c r="H15" s="672">
        <v>971310.61340000003</v>
      </c>
      <c r="I15" s="672">
        <v>1086518.0563000001</v>
      </c>
      <c r="J15" s="673">
        <v>934391.62509999995</v>
      </c>
      <c r="K15" s="672">
        <v>1042189.7724</v>
      </c>
      <c r="L15" s="673">
        <v>1039762.6068</v>
      </c>
      <c r="M15" s="672">
        <v>934091.85430000001</v>
      </c>
      <c r="N15" s="672">
        <v>1047767.4538</v>
      </c>
      <c r="O15" s="675">
        <f t="shared" si="0"/>
        <v>12152506.586399999</v>
      </c>
    </row>
    <row r="16" spans="1:15" x14ac:dyDescent="0.2">
      <c r="A16" s="645" t="s">
        <v>155</v>
      </c>
      <c r="B16" s="665">
        <v>1.6E-2</v>
      </c>
      <c r="C16" s="672">
        <v>566906.38399999996</v>
      </c>
      <c r="D16" s="673">
        <v>654946.46400000004</v>
      </c>
      <c r="E16" s="672">
        <v>553201.152</v>
      </c>
      <c r="F16" s="673">
        <v>610492.81599999999</v>
      </c>
      <c r="G16" s="672">
        <v>516360.43200000003</v>
      </c>
      <c r="H16" s="672">
        <v>553059.424</v>
      </c>
      <c r="I16" s="672">
        <v>618657.96799999999</v>
      </c>
      <c r="J16" s="673">
        <v>532037.93599999999</v>
      </c>
      <c r="K16" s="672">
        <v>593417.66399999999</v>
      </c>
      <c r="L16" s="673">
        <v>592035.64800000004</v>
      </c>
      <c r="M16" s="672">
        <v>531867.24800000002</v>
      </c>
      <c r="N16" s="672">
        <v>596593.56799999997</v>
      </c>
      <c r="O16" s="675">
        <f t="shared" si="0"/>
        <v>6919576.7039999999</v>
      </c>
    </row>
    <row r="17" spans="1:16" x14ac:dyDescent="0.2">
      <c r="A17" s="645" t="s">
        <v>156</v>
      </c>
      <c r="B17" s="665">
        <v>2.8400000000000002E-2</v>
      </c>
      <c r="C17" s="672">
        <v>1006258.8316</v>
      </c>
      <c r="D17" s="673">
        <v>1162529.9736000001</v>
      </c>
      <c r="E17" s="672">
        <v>981932.04480000003</v>
      </c>
      <c r="F17" s="673">
        <v>1083624.7484000002</v>
      </c>
      <c r="G17" s="672">
        <v>916539.7668000001</v>
      </c>
      <c r="H17" s="672">
        <v>981680.4776000001</v>
      </c>
      <c r="I17" s="672">
        <v>1098117.8932</v>
      </c>
      <c r="J17" s="673">
        <v>944367.33640000003</v>
      </c>
      <c r="K17" s="672">
        <v>1053316.3536</v>
      </c>
      <c r="L17" s="673">
        <v>1050863.2752</v>
      </c>
      <c r="M17" s="672">
        <v>944064.3652</v>
      </c>
      <c r="N17" s="672">
        <v>1058953.5832</v>
      </c>
      <c r="O17" s="675">
        <f t="shared" si="0"/>
        <v>12282248.649600001</v>
      </c>
    </row>
    <row r="18" spans="1:16" x14ac:dyDescent="0.2">
      <c r="A18" s="645" t="s">
        <v>157</v>
      </c>
      <c r="B18" s="665">
        <v>3.3300000000000003E-2</v>
      </c>
      <c r="C18" s="672">
        <v>1179873.9117000001</v>
      </c>
      <c r="D18" s="673">
        <v>1363107.3282000001</v>
      </c>
      <c r="E18" s="672">
        <v>1151349.8976</v>
      </c>
      <c r="F18" s="673">
        <v>1270588.1733000001</v>
      </c>
      <c r="G18" s="672">
        <v>1074675.1491</v>
      </c>
      <c r="H18" s="672">
        <v>1151054.9262000001</v>
      </c>
      <c r="I18" s="672">
        <v>1287581.8959000001</v>
      </c>
      <c r="J18" s="673">
        <v>1107303.9543000001</v>
      </c>
      <c r="K18" s="672">
        <v>1235050.5132000002</v>
      </c>
      <c r="L18" s="673">
        <v>1232174.1924000001</v>
      </c>
      <c r="M18" s="672">
        <v>1106948.7099000001</v>
      </c>
      <c r="N18" s="672">
        <v>1241660.3634000001</v>
      </c>
      <c r="O18" s="675">
        <f t="shared" si="0"/>
        <v>14401369.0152</v>
      </c>
    </row>
    <row r="19" spans="1:16" x14ac:dyDescent="0.2">
      <c r="A19" s="645" t="s">
        <v>158</v>
      </c>
      <c r="B19" s="665">
        <v>4.6899999999999997E-2</v>
      </c>
      <c r="C19" s="672">
        <v>1661744.3380999998</v>
      </c>
      <c r="D19" s="673">
        <v>1919811.8225999998</v>
      </c>
      <c r="E19" s="672">
        <v>1621570.8768</v>
      </c>
      <c r="F19" s="673">
        <v>1789507.0669</v>
      </c>
      <c r="G19" s="672">
        <v>1513581.5163</v>
      </c>
      <c r="H19" s="672">
        <v>1621155.4365999999</v>
      </c>
      <c r="I19" s="672">
        <v>1813441.1686999998</v>
      </c>
      <c r="J19" s="673">
        <v>1559536.1998999999</v>
      </c>
      <c r="K19" s="672">
        <v>1739455.5275999999</v>
      </c>
      <c r="L19" s="673">
        <v>1735404.4931999999</v>
      </c>
      <c r="M19" s="672">
        <v>1559035.8706999999</v>
      </c>
      <c r="N19" s="672">
        <v>1748764.8961999998</v>
      </c>
      <c r="O19" s="675">
        <f t="shared" si="0"/>
        <v>20283009.213600002</v>
      </c>
    </row>
    <row r="20" spans="1:16" x14ac:dyDescent="0.2">
      <c r="A20" s="645" t="s">
        <v>285</v>
      </c>
      <c r="B20" s="665">
        <v>2.1299999999999999E-2</v>
      </c>
      <c r="C20" s="672">
        <v>754694.1237</v>
      </c>
      <c r="D20" s="673">
        <v>871897.48019999999</v>
      </c>
      <c r="E20" s="672">
        <v>736449.03359999997</v>
      </c>
      <c r="F20" s="673">
        <v>812718.56129999994</v>
      </c>
      <c r="G20" s="672">
        <v>687404.82510000002</v>
      </c>
      <c r="H20" s="672">
        <v>736260.35820000002</v>
      </c>
      <c r="I20" s="672">
        <v>823588.41989999998</v>
      </c>
      <c r="J20" s="673">
        <v>708275.50229999993</v>
      </c>
      <c r="K20" s="672">
        <v>789987.26520000002</v>
      </c>
      <c r="L20" s="673">
        <v>788147.45640000002</v>
      </c>
      <c r="M20" s="672">
        <v>708048.27390000003</v>
      </c>
      <c r="N20" s="672">
        <v>794215.18739999994</v>
      </c>
      <c r="O20" s="675">
        <f t="shared" si="0"/>
        <v>9211686.4872000013</v>
      </c>
    </row>
    <row r="21" spans="1:16" x14ac:dyDescent="0.2">
      <c r="A21" s="645" t="s">
        <v>286</v>
      </c>
      <c r="B21" s="665">
        <v>2.81E-2</v>
      </c>
      <c r="C21" s="672">
        <v>995629.33689999999</v>
      </c>
      <c r="D21" s="673">
        <v>1150249.7274</v>
      </c>
      <c r="E21" s="672">
        <v>971559.52320000005</v>
      </c>
      <c r="F21" s="673">
        <v>1072178.0081</v>
      </c>
      <c r="G21" s="672">
        <v>906858.00870000001</v>
      </c>
      <c r="H21" s="672">
        <v>971310.61340000003</v>
      </c>
      <c r="I21" s="672">
        <v>1086518.0563000001</v>
      </c>
      <c r="J21" s="673">
        <v>934391.62509999995</v>
      </c>
      <c r="K21" s="672">
        <v>1042189.7724</v>
      </c>
      <c r="L21" s="673">
        <v>1039762.6068</v>
      </c>
      <c r="M21" s="672">
        <v>934091.85430000001</v>
      </c>
      <c r="N21" s="672">
        <v>1047767.4538</v>
      </c>
      <c r="O21" s="675">
        <f t="shared" si="0"/>
        <v>12152506.586399999</v>
      </c>
    </row>
    <row r="22" spans="1:16" x14ac:dyDescent="0.2">
      <c r="A22" s="645" t="s">
        <v>287</v>
      </c>
      <c r="B22" s="665">
        <v>8.3400000000000002E-2</v>
      </c>
      <c r="C22" s="672">
        <v>2954999.5266</v>
      </c>
      <c r="D22" s="673">
        <v>3413908.4435999999</v>
      </c>
      <c r="E22" s="672">
        <v>2883561.0048000002</v>
      </c>
      <c r="F22" s="673">
        <v>3182193.8034000001</v>
      </c>
      <c r="G22" s="672">
        <v>2691528.7518000002</v>
      </c>
      <c r="H22" s="672">
        <v>2882822.2475999999</v>
      </c>
      <c r="I22" s="672">
        <v>3224754.6581999999</v>
      </c>
      <c r="J22" s="673">
        <v>2773247.7414000002</v>
      </c>
      <c r="K22" s="672">
        <v>3093189.5736000002</v>
      </c>
      <c r="L22" s="673">
        <v>3085985.8152000001</v>
      </c>
      <c r="M22" s="672">
        <v>2772358.0301999999</v>
      </c>
      <c r="N22" s="672">
        <v>3109743.9731999999</v>
      </c>
      <c r="O22" s="675">
        <f t="shared" si="0"/>
        <v>36068293.569600001</v>
      </c>
    </row>
    <row r="23" spans="1:16" x14ac:dyDescent="0.2">
      <c r="A23" s="645" t="s">
        <v>162</v>
      </c>
      <c r="B23" s="665">
        <v>3.5000000000000003E-2</v>
      </c>
      <c r="C23" s="672">
        <v>1240107.7150000001</v>
      </c>
      <c r="D23" s="673">
        <v>1432695.3900000001</v>
      </c>
      <c r="E23" s="672">
        <v>1210127.52</v>
      </c>
      <c r="F23" s="673">
        <v>1335453.0350000001</v>
      </c>
      <c r="G23" s="672">
        <v>1129538.4450000001</v>
      </c>
      <c r="H23" s="672">
        <v>1209817.4900000002</v>
      </c>
      <c r="I23" s="672">
        <v>1353314.3050000002</v>
      </c>
      <c r="J23" s="673">
        <v>1163832.9850000001</v>
      </c>
      <c r="K23" s="672">
        <v>1298101.1400000001</v>
      </c>
      <c r="L23" s="673">
        <v>1295077.9800000002</v>
      </c>
      <c r="M23" s="672">
        <v>1163459.6050000002</v>
      </c>
      <c r="N23" s="672">
        <v>1305048.4300000002</v>
      </c>
      <c r="O23" s="675">
        <f t="shared" si="0"/>
        <v>15136574.040000001</v>
      </c>
    </row>
    <row r="24" spans="1:16" x14ac:dyDescent="0.2">
      <c r="A24" s="645" t="s">
        <v>163</v>
      </c>
      <c r="B24" s="665">
        <v>0.39</v>
      </c>
      <c r="C24" s="672">
        <v>13818343.110000001</v>
      </c>
      <c r="D24" s="673">
        <v>15964320.060000001</v>
      </c>
      <c r="E24" s="672">
        <v>13484278.08</v>
      </c>
      <c r="F24" s="673">
        <v>14880762.390000001</v>
      </c>
      <c r="G24" s="672">
        <v>12586285.530000001</v>
      </c>
      <c r="H24" s="672">
        <v>13480823.460000001</v>
      </c>
      <c r="I24" s="672">
        <v>15079787.970000001</v>
      </c>
      <c r="J24" s="673">
        <v>12968424.690000001</v>
      </c>
      <c r="K24" s="672">
        <v>14464555.560000001</v>
      </c>
      <c r="L24" s="673">
        <v>14430868.92</v>
      </c>
      <c r="M24" s="672">
        <v>12964264.17</v>
      </c>
      <c r="N24" s="672">
        <v>14541968.220000001</v>
      </c>
      <c r="O24" s="675">
        <f t="shared" si="0"/>
        <v>168664682.15999997</v>
      </c>
    </row>
    <row r="25" spans="1:16" x14ac:dyDescent="0.2">
      <c r="A25" s="645" t="s">
        <v>164</v>
      </c>
      <c r="B25" s="665">
        <v>3.7900000000000003E-2</v>
      </c>
      <c r="C25" s="672">
        <v>1342859.4971</v>
      </c>
      <c r="D25" s="673">
        <v>1551404.4366000001</v>
      </c>
      <c r="E25" s="672">
        <v>1310395.2288000002</v>
      </c>
      <c r="F25" s="673">
        <v>1446104.8579000002</v>
      </c>
      <c r="G25" s="672">
        <v>1223128.7733</v>
      </c>
      <c r="H25" s="672">
        <v>1310059.5106000002</v>
      </c>
      <c r="I25" s="672">
        <v>1465446.0617000002</v>
      </c>
      <c r="J25" s="673">
        <v>1260264.8609000002</v>
      </c>
      <c r="K25" s="672">
        <v>1405658.0916000002</v>
      </c>
      <c r="L25" s="673">
        <v>1402384.4412</v>
      </c>
      <c r="M25" s="672">
        <v>1259860.5437</v>
      </c>
      <c r="N25" s="672">
        <v>1413181.0142000001</v>
      </c>
      <c r="O25" s="675">
        <f t="shared" si="0"/>
        <v>16390747.317600001</v>
      </c>
    </row>
    <row r="26" spans="1:16" ht="13.5" thickBot="1" x14ac:dyDescent="0.25">
      <c r="A26" s="645" t="s">
        <v>165</v>
      </c>
      <c r="B26" s="665">
        <v>3.1E-2</v>
      </c>
      <c r="C26" s="672">
        <v>1098381.1189999999</v>
      </c>
      <c r="D26" s="673">
        <v>1268958.774</v>
      </c>
      <c r="E26" s="672">
        <v>1071827.2320000001</v>
      </c>
      <c r="F26" s="673">
        <v>1182829.831</v>
      </c>
      <c r="G26" s="672">
        <v>1000448.3369999999</v>
      </c>
      <c r="H26" s="672">
        <v>1071552.6340000001</v>
      </c>
      <c r="I26" s="678">
        <v>1198649.8130000001</v>
      </c>
      <c r="J26" s="673">
        <v>1030823.501</v>
      </c>
      <c r="K26" s="672">
        <v>1149746.7239999999</v>
      </c>
      <c r="L26" s="673">
        <v>1147069.068</v>
      </c>
      <c r="M26" s="672">
        <v>1030492.7929999999</v>
      </c>
      <c r="N26" s="672">
        <v>1155900.0379999999</v>
      </c>
      <c r="O26" s="675">
        <f t="shared" si="0"/>
        <v>13406679.864</v>
      </c>
    </row>
    <row r="27" spans="1:16" ht="13.5" thickBot="1" x14ac:dyDescent="0.25">
      <c r="A27" s="650" t="s">
        <v>288</v>
      </c>
      <c r="B27" s="666">
        <f t="shared" ref="B27:N27" si="1">SUM(B7:B26)</f>
        <v>1</v>
      </c>
      <c r="C27" s="680">
        <f t="shared" si="1"/>
        <v>35431649.000000007</v>
      </c>
      <c r="D27" s="680">
        <f t="shared" si="1"/>
        <v>40934153.999999993</v>
      </c>
      <c r="E27" s="680">
        <f t="shared" si="1"/>
        <v>34575072</v>
      </c>
      <c r="F27" s="680">
        <f t="shared" si="1"/>
        <v>38155801</v>
      </c>
      <c r="G27" s="680">
        <f t="shared" si="1"/>
        <v>32272527</v>
      </c>
      <c r="H27" s="680">
        <f t="shared" si="1"/>
        <v>34566214.000000007</v>
      </c>
      <c r="I27" s="680">
        <f t="shared" si="1"/>
        <v>38666123.000000007</v>
      </c>
      <c r="J27" s="680">
        <f t="shared" si="1"/>
        <v>33252371</v>
      </c>
      <c r="K27" s="680">
        <f t="shared" si="1"/>
        <v>37088604</v>
      </c>
      <c r="L27" s="680">
        <f t="shared" si="1"/>
        <v>37002228</v>
      </c>
      <c r="M27" s="680">
        <f t="shared" si="1"/>
        <v>33241703</v>
      </c>
      <c r="N27" s="680">
        <f t="shared" si="1"/>
        <v>37287098.000000007</v>
      </c>
      <c r="O27" s="680">
        <f t="shared" si="0"/>
        <v>432473544</v>
      </c>
    </row>
    <row r="28" spans="1:16" x14ac:dyDescent="0.2">
      <c r="A28" s="653"/>
      <c r="B28" s="653"/>
      <c r="C28" s="653"/>
      <c r="D28" s="653"/>
      <c r="E28" s="653"/>
      <c r="F28" s="653"/>
      <c r="G28" s="653"/>
      <c r="H28" s="653"/>
      <c r="I28" s="653"/>
      <c r="J28" s="653"/>
      <c r="K28" s="653"/>
      <c r="L28" s="653"/>
      <c r="M28" s="653"/>
      <c r="N28" s="653"/>
      <c r="O28" s="653"/>
      <c r="P28" s="649"/>
    </row>
    <row r="29" spans="1:16" x14ac:dyDescent="0.2">
      <c r="A29" s="654"/>
      <c r="M29" s="649"/>
      <c r="O29" s="649"/>
    </row>
    <row r="31" spans="1:16" x14ac:dyDescent="0.2">
      <c r="M31" s="649"/>
    </row>
    <row r="32" spans="1:16" x14ac:dyDescent="0.2">
      <c r="O32" s="649"/>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5"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9" tint="0.39997558519241921"/>
  </sheetPr>
  <dimension ref="A1:T32"/>
  <sheetViews>
    <sheetView workbookViewId="0">
      <selection activeCell="B8" sqref="B8"/>
    </sheetView>
  </sheetViews>
  <sheetFormatPr baseColWidth="10" defaultRowHeight="12.75" x14ac:dyDescent="0.2"/>
  <cols>
    <col min="1" max="1" width="16.42578125" style="640" bestFit="1" customWidth="1"/>
    <col min="2" max="2" width="12.28515625" style="640" bestFit="1" customWidth="1"/>
    <col min="3" max="3" width="13.85546875" style="640" bestFit="1" customWidth="1"/>
    <col min="4" max="4" width="17" style="640" bestFit="1" customWidth="1"/>
    <col min="5" max="5" width="14.5703125" style="640" customWidth="1"/>
    <col min="6" max="10" width="13.28515625" style="640" bestFit="1" customWidth="1"/>
    <col min="11" max="11" width="11.5703125" style="640" customWidth="1"/>
    <col min="12" max="12" width="11.7109375" style="640" bestFit="1" customWidth="1"/>
    <col min="13" max="14" width="13.28515625" style="640" bestFit="1" customWidth="1"/>
    <col min="15" max="15" width="15.28515625" style="640" bestFit="1" customWidth="1"/>
    <col min="16" max="19" width="11.42578125" style="640"/>
    <col min="20" max="20" width="11.7109375" style="640" bestFit="1" customWidth="1"/>
    <col min="21" max="16384" width="11.42578125" style="640"/>
  </cols>
  <sheetData>
    <row r="1" spans="1:15" ht="15.75" x14ac:dyDescent="0.25">
      <c r="A1" s="1235" t="s">
        <v>277</v>
      </c>
      <c r="B1" s="1235"/>
      <c r="C1" s="1235"/>
      <c r="D1" s="1235"/>
      <c r="E1" s="1235"/>
      <c r="F1" s="1235"/>
      <c r="G1" s="1235"/>
      <c r="H1" s="1235"/>
      <c r="I1" s="1235"/>
      <c r="J1" s="1235"/>
      <c r="K1" s="1235"/>
      <c r="L1" s="1235"/>
      <c r="M1" s="1235"/>
      <c r="N1" s="1235"/>
      <c r="O1" s="1235"/>
    </row>
    <row r="2" spans="1:15" x14ac:dyDescent="0.2">
      <c r="A2" s="1236" t="s">
        <v>278</v>
      </c>
      <c r="B2" s="1236"/>
      <c r="C2" s="1236"/>
      <c r="D2" s="1236"/>
      <c r="E2" s="1236"/>
      <c r="F2" s="1236"/>
      <c r="G2" s="1236"/>
      <c r="H2" s="1236"/>
      <c r="I2" s="1236"/>
      <c r="J2" s="1236"/>
      <c r="K2" s="1236"/>
      <c r="L2" s="1236"/>
      <c r="M2" s="1236"/>
      <c r="N2" s="1236"/>
      <c r="O2" s="1236"/>
    </row>
    <row r="3" spans="1:15" x14ac:dyDescent="0.2">
      <c r="A3" s="1236" t="s">
        <v>279</v>
      </c>
      <c r="B3" s="1236"/>
      <c r="C3" s="1236"/>
      <c r="D3" s="1236"/>
      <c r="E3" s="1236"/>
      <c r="F3" s="1236"/>
      <c r="G3" s="1236"/>
      <c r="H3" s="1236"/>
      <c r="I3" s="1236"/>
      <c r="J3" s="1236"/>
      <c r="K3" s="1236"/>
      <c r="L3" s="1236"/>
      <c r="M3" s="1236"/>
      <c r="N3" s="1236"/>
      <c r="O3" s="1236"/>
    </row>
    <row r="4" spans="1:15" x14ac:dyDescent="0.2">
      <c r="A4" s="1237" t="s">
        <v>363</v>
      </c>
      <c r="B4" s="1237"/>
      <c r="C4" s="1237"/>
      <c r="D4" s="1237"/>
      <c r="E4" s="1237"/>
      <c r="F4" s="1237"/>
      <c r="G4" s="1237"/>
      <c r="H4" s="1237"/>
      <c r="I4" s="1237"/>
      <c r="J4" s="1237"/>
      <c r="K4" s="1237"/>
      <c r="L4" s="1237"/>
      <c r="M4" s="1237"/>
      <c r="N4" s="1237"/>
      <c r="O4" s="1237"/>
    </row>
    <row r="5" spans="1:15" ht="13.5" thickBot="1" x14ac:dyDescent="0.25">
      <c r="A5" s="640" t="s">
        <v>350</v>
      </c>
    </row>
    <row r="6" spans="1:15" ht="23.25" thickBot="1" x14ac:dyDescent="0.25">
      <c r="A6" s="667" t="s">
        <v>351</v>
      </c>
      <c r="B6" s="668" t="s">
        <v>281</v>
      </c>
      <c r="C6" s="667" t="s">
        <v>1</v>
      </c>
      <c r="D6" s="669" t="s">
        <v>2</v>
      </c>
      <c r="E6" s="667" t="s">
        <v>3</v>
      </c>
      <c r="F6" s="669" t="s">
        <v>4</v>
      </c>
      <c r="G6" s="667" t="s">
        <v>5</v>
      </c>
      <c r="H6" s="667" t="s">
        <v>6</v>
      </c>
      <c r="I6" s="667" t="s">
        <v>7</v>
      </c>
      <c r="J6" s="669" t="s">
        <v>8</v>
      </c>
      <c r="K6" s="667" t="s">
        <v>9</v>
      </c>
      <c r="L6" s="669" t="s">
        <v>10</v>
      </c>
      <c r="M6" s="667" t="s">
        <v>11</v>
      </c>
      <c r="N6" s="667" t="s">
        <v>12</v>
      </c>
      <c r="O6" s="670" t="s">
        <v>168</v>
      </c>
    </row>
    <row r="7" spans="1:15" x14ac:dyDescent="0.2">
      <c r="A7" s="645" t="s">
        <v>282</v>
      </c>
      <c r="B7" s="646">
        <f>FGP!U8</f>
        <v>3.6689125344346443</v>
      </c>
      <c r="C7" s="672">
        <f>$C$32*B7/100</f>
        <v>1546654.3719838024</v>
      </c>
      <c r="D7" s="672">
        <f>$D$32*B7/100</f>
        <v>3015130.7610319685</v>
      </c>
      <c r="E7" s="672">
        <f>$E$32*B7/100</f>
        <v>1358897.5562692096</v>
      </c>
      <c r="F7" s="672">
        <f>$F$32*B7/100</f>
        <v>3106480.8458804167</v>
      </c>
      <c r="G7" s="672">
        <f>$G$32*B7/100</f>
        <v>1565813.1090729993</v>
      </c>
      <c r="H7" s="672">
        <f>$H$32*B7/100</f>
        <v>1715190.3897551533</v>
      </c>
      <c r="I7" s="672">
        <f>$I$32*B7/100</f>
        <v>1391017.5199410908</v>
      </c>
      <c r="J7" s="672">
        <f>$J$32*B7/100</f>
        <v>1993344.9011645662</v>
      </c>
      <c r="K7" s="672">
        <f>$K$32*B7/100</f>
        <v>1443104.3185156884</v>
      </c>
      <c r="L7" s="672">
        <f>$L$32*B7/100</f>
        <v>1041254.3155592115</v>
      </c>
      <c r="M7" s="672">
        <f>$M$32*B7/100</f>
        <v>1552980.1463990244</v>
      </c>
      <c r="N7" s="672">
        <f>$N$32*B7/100</f>
        <v>1279375.0875999166</v>
      </c>
      <c r="O7" s="675">
        <f>SUM(C7:N7)</f>
        <v>21009243.323173054</v>
      </c>
    </row>
    <row r="8" spans="1:15" x14ac:dyDescent="0.2">
      <c r="A8" s="645" t="s">
        <v>147</v>
      </c>
      <c r="B8" s="646">
        <f>FGP!U9</f>
        <v>3.0189415127607973</v>
      </c>
      <c r="C8" s="672">
        <f t="shared" ref="C8:C26" si="0">$C$32*B8/100</f>
        <v>1272654.7841223977</v>
      </c>
      <c r="D8" s="672">
        <f t="shared" ref="D8:D26" si="1">$D$32*B8/100</f>
        <v>2480981.3086165874</v>
      </c>
      <c r="E8" s="672">
        <f t="shared" ref="E8:E26" si="2">$E$32*B8/100</f>
        <v>1118160.2738432349</v>
      </c>
      <c r="F8" s="672">
        <f t="shared" ref="F8:F26" si="3">$F$32*B8/100</f>
        <v>2556148.149132642</v>
      </c>
      <c r="G8" s="672">
        <f t="shared" ref="G8:G26" si="4">$G$32*B8/100</f>
        <v>1288419.4299644004</v>
      </c>
      <c r="H8" s="672">
        <f t="shared" ref="H8:H26" si="5">$H$32*B8/100</f>
        <v>1411333.5821776709</v>
      </c>
      <c r="I8" s="672">
        <f t="shared" ref="I8:I26" si="6">$I$32*B8/100</f>
        <v>1144589.9831391948</v>
      </c>
      <c r="J8" s="672">
        <f t="shared" ref="J8:J26" si="7">$J$32*B8/100</f>
        <v>1640211.2655713884</v>
      </c>
      <c r="K8" s="672">
        <f t="shared" ref="K8:K26" si="8">$K$32*B8/100</f>
        <v>1187449.2764605312</v>
      </c>
      <c r="L8" s="672">
        <f t="shared" ref="L8:L26" si="9">$L$32*B8/100</f>
        <v>856789.53888374055</v>
      </c>
      <c r="M8" s="672">
        <f t="shared" ref="M8:M26" si="10">$M$32*B8/100</f>
        <v>1277859.9076578424</v>
      </c>
      <c r="N8" s="672">
        <f t="shared" ref="N8:N26" si="11">$N$32*B8/100</f>
        <v>1052725.7126184215</v>
      </c>
      <c r="O8" s="675">
        <f t="shared" ref="O8:O26" si="12">SUM(C8:N8)</f>
        <v>17287323.21218805</v>
      </c>
    </row>
    <row r="9" spans="1:15" x14ac:dyDescent="0.2">
      <c r="A9" s="645" t="s">
        <v>148</v>
      </c>
      <c r="B9" s="646">
        <f>FGP!U10</f>
        <v>2.9158506739591776</v>
      </c>
      <c r="C9" s="672">
        <f t="shared" si="0"/>
        <v>1229196.1584267672</v>
      </c>
      <c r="D9" s="672">
        <f t="shared" si="1"/>
        <v>2396260.7391470163</v>
      </c>
      <c r="E9" s="672">
        <f t="shared" si="2"/>
        <v>1079977.3279140398</v>
      </c>
      <c r="F9" s="672">
        <f t="shared" si="3"/>
        <v>2468860.7817949723</v>
      </c>
      <c r="G9" s="672">
        <f t="shared" si="4"/>
        <v>1244422.4730171068</v>
      </c>
      <c r="H9" s="672">
        <f t="shared" si="5"/>
        <v>1363139.351782483</v>
      </c>
      <c r="I9" s="672">
        <f t="shared" si="6"/>
        <v>1105504.5152866412</v>
      </c>
      <c r="J9" s="672">
        <f t="shared" si="7"/>
        <v>1584201.3182223293</v>
      </c>
      <c r="K9" s="672">
        <f t="shared" si="8"/>
        <v>1146900.2491185789</v>
      </c>
      <c r="L9" s="672">
        <f t="shared" si="9"/>
        <v>827531.88289185509</v>
      </c>
      <c r="M9" s="672">
        <f t="shared" si="10"/>
        <v>1234223.5373623027</v>
      </c>
      <c r="N9" s="672">
        <f t="shared" si="11"/>
        <v>1016777.2266066406</v>
      </c>
      <c r="O9" s="675">
        <f t="shared" si="12"/>
        <v>16696995.56157073</v>
      </c>
    </row>
    <row r="10" spans="1:15" x14ac:dyDescent="0.2">
      <c r="A10" s="645" t="s">
        <v>283</v>
      </c>
      <c r="B10" s="646">
        <f>FGP!U11</f>
        <v>10.636056638976944</v>
      </c>
      <c r="C10" s="672">
        <f t="shared" si="0"/>
        <v>4483700.1010371381</v>
      </c>
      <c r="D10" s="672">
        <f t="shared" si="1"/>
        <v>8740764.8035412524</v>
      </c>
      <c r="E10" s="672">
        <f t="shared" si="2"/>
        <v>3939399.2741431855</v>
      </c>
      <c r="F10" s="672">
        <f t="shared" si="3"/>
        <v>9005585.6918302029</v>
      </c>
      <c r="G10" s="672">
        <f t="shared" si="4"/>
        <v>4539240.6490604142</v>
      </c>
      <c r="H10" s="672">
        <f t="shared" si="5"/>
        <v>4972280.4675352825</v>
      </c>
      <c r="I10" s="672">
        <f t="shared" si="6"/>
        <v>4032513.9912833846</v>
      </c>
      <c r="J10" s="672">
        <f t="shared" si="7"/>
        <v>5778641.2379190754</v>
      </c>
      <c r="K10" s="672">
        <f t="shared" si="8"/>
        <v>4183511.9054017621</v>
      </c>
      <c r="L10" s="672">
        <f t="shared" si="9"/>
        <v>3018561.9776769923</v>
      </c>
      <c r="M10" s="672">
        <f t="shared" si="10"/>
        <v>4502038.3127917722</v>
      </c>
      <c r="N10" s="672">
        <f t="shared" si="11"/>
        <v>3708866.2557352656</v>
      </c>
      <c r="O10" s="675">
        <f t="shared" si="12"/>
        <v>60905104.667955726</v>
      </c>
    </row>
    <row r="11" spans="1:15" x14ac:dyDescent="0.2">
      <c r="A11" s="645" t="s">
        <v>150</v>
      </c>
      <c r="B11" s="646">
        <f>FGP!U12</f>
        <v>4.9259786013988212</v>
      </c>
      <c r="C11" s="672">
        <f t="shared" si="0"/>
        <v>2076578.8959660081</v>
      </c>
      <c r="D11" s="672">
        <f t="shared" si="1"/>
        <v>4048193.9729728359</v>
      </c>
      <c r="E11" s="672">
        <f t="shared" si="2"/>
        <v>1824491.6500051599</v>
      </c>
      <c r="F11" s="672">
        <f t="shared" si="3"/>
        <v>4170843.0028900248</v>
      </c>
      <c r="G11" s="672">
        <f t="shared" si="4"/>
        <v>2102301.9209892126</v>
      </c>
      <c r="H11" s="672">
        <f t="shared" si="5"/>
        <v>2302859.7923664385</v>
      </c>
      <c r="I11" s="672">
        <f t="shared" si="6"/>
        <v>1867616.7592140597</v>
      </c>
      <c r="J11" s="672">
        <f t="shared" si="7"/>
        <v>2676317.3654825687</v>
      </c>
      <c r="K11" s="672">
        <f t="shared" si="8"/>
        <v>1937549.8668544614</v>
      </c>
      <c r="L11" s="672">
        <f t="shared" si="9"/>
        <v>1398015.468866779</v>
      </c>
      <c r="M11" s="672">
        <f t="shared" si="10"/>
        <v>2085072.0473055949</v>
      </c>
      <c r="N11" s="672">
        <f t="shared" si="11"/>
        <v>1717722.6890885956</v>
      </c>
      <c r="O11" s="675">
        <f t="shared" si="12"/>
        <v>28207563.43200174</v>
      </c>
    </row>
    <row r="12" spans="1:15" x14ac:dyDescent="0.2">
      <c r="A12" s="645" t="s">
        <v>284</v>
      </c>
      <c r="B12" s="646">
        <f>FGP!U13</f>
        <v>4.5669690465560464</v>
      </c>
      <c r="C12" s="672">
        <f t="shared" si="0"/>
        <v>1925236.0410001024</v>
      </c>
      <c r="D12" s="672">
        <f t="shared" si="1"/>
        <v>3753158.1163937026</v>
      </c>
      <c r="E12" s="672">
        <f t="shared" si="2"/>
        <v>1691521.1302191603</v>
      </c>
      <c r="F12" s="672">
        <f t="shared" si="3"/>
        <v>3866868.3795813806</v>
      </c>
      <c r="G12" s="672">
        <f t="shared" si="4"/>
        <v>1949084.3498480949</v>
      </c>
      <c r="H12" s="672">
        <f t="shared" si="5"/>
        <v>2135025.3911597361</v>
      </c>
      <c r="I12" s="672">
        <f t="shared" si="6"/>
        <v>1731503.2443985576</v>
      </c>
      <c r="J12" s="672">
        <f t="shared" si="7"/>
        <v>2481265.0553229097</v>
      </c>
      <c r="K12" s="672">
        <f t="shared" si="8"/>
        <v>1796339.5670396045</v>
      </c>
      <c r="L12" s="672">
        <f t="shared" si="9"/>
        <v>1296126.8997612104</v>
      </c>
      <c r="M12" s="672">
        <f t="shared" si="10"/>
        <v>1933110.2041693446</v>
      </c>
      <c r="N12" s="672">
        <f t="shared" si="11"/>
        <v>1592533.5829528293</v>
      </c>
      <c r="O12" s="675">
        <f t="shared" si="12"/>
        <v>26151771.961846635</v>
      </c>
    </row>
    <row r="13" spans="1:15" x14ac:dyDescent="0.2">
      <c r="A13" s="645" t="s">
        <v>152</v>
      </c>
      <c r="B13" s="646">
        <f>FGP!U14</f>
        <v>3.0924320014220541</v>
      </c>
      <c r="C13" s="672">
        <f t="shared" si="0"/>
        <v>1303635.186222573</v>
      </c>
      <c r="D13" s="672">
        <f t="shared" si="1"/>
        <v>2541376.1615671967</v>
      </c>
      <c r="E13" s="672">
        <f t="shared" si="2"/>
        <v>1145379.7958442413</v>
      </c>
      <c r="F13" s="672">
        <f t="shared" si="3"/>
        <v>2618372.7983271657</v>
      </c>
      <c r="G13" s="672">
        <f t="shared" si="4"/>
        <v>1319783.5929031358</v>
      </c>
      <c r="H13" s="672">
        <f t="shared" si="5"/>
        <v>1445689.8604228327</v>
      </c>
      <c r="I13" s="672">
        <f t="shared" si="6"/>
        <v>1172452.8870153136</v>
      </c>
      <c r="J13" s="672">
        <f t="shared" si="7"/>
        <v>1680139.1432414353</v>
      </c>
      <c r="K13" s="672">
        <f t="shared" si="8"/>
        <v>1216355.5097276128</v>
      </c>
      <c r="L13" s="672">
        <f t="shared" si="9"/>
        <v>877646.47884970799</v>
      </c>
      <c r="M13" s="672">
        <f t="shared" si="10"/>
        <v>1308967.0187620001</v>
      </c>
      <c r="N13" s="672">
        <f t="shared" si="11"/>
        <v>1078352.3525250184</v>
      </c>
      <c r="O13" s="675">
        <f t="shared" si="12"/>
        <v>17708150.785408232</v>
      </c>
    </row>
    <row r="14" spans="1:15" x14ac:dyDescent="0.2">
      <c r="A14" s="645" t="s">
        <v>153</v>
      </c>
      <c r="B14" s="646">
        <f>FGP!U15</f>
        <v>3.5445769153881468</v>
      </c>
      <c r="C14" s="672">
        <f t="shared" si="0"/>
        <v>1494239.868507172</v>
      </c>
      <c r="D14" s="672">
        <f t="shared" si="1"/>
        <v>2912951.1243792744</v>
      </c>
      <c r="E14" s="672">
        <f t="shared" si="2"/>
        <v>1312845.93544322</v>
      </c>
      <c r="F14" s="672">
        <f t="shared" si="3"/>
        <v>3001205.4501320831</v>
      </c>
      <c r="G14" s="672">
        <f t="shared" si="4"/>
        <v>1512749.3359793427</v>
      </c>
      <c r="H14" s="672">
        <f t="shared" si="5"/>
        <v>1657064.376422521</v>
      </c>
      <c r="I14" s="672">
        <f t="shared" si="6"/>
        <v>1343877.387047994</v>
      </c>
      <c r="J14" s="672">
        <f t="shared" si="7"/>
        <v>1925792.5215607097</v>
      </c>
      <c r="K14" s="672">
        <f t="shared" si="8"/>
        <v>1394199.0183464186</v>
      </c>
      <c r="L14" s="672">
        <f t="shared" si="9"/>
        <v>1005967.2928529476</v>
      </c>
      <c r="M14" s="672">
        <f t="shared" si="10"/>
        <v>1500351.2690253651</v>
      </c>
      <c r="N14" s="672">
        <f t="shared" si="11"/>
        <v>1236018.4002936834</v>
      </c>
      <c r="O14" s="675">
        <f t="shared" si="12"/>
        <v>20297261.979990732</v>
      </c>
    </row>
    <row r="15" spans="1:15" x14ac:dyDescent="0.2">
      <c r="A15" s="645" t="s">
        <v>154</v>
      </c>
      <c r="B15" s="646">
        <f>FGP!U16</f>
        <v>2.9474150327827102</v>
      </c>
      <c r="C15" s="672">
        <f t="shared" si="0"/>
        <v>1242502.3228869685</v>
      </c>
      <c r="D15" s="672">
        <f t="shared" si="1"/>
        <v>2422200.4878730644</v>
      </c>
      <c r="E15" s="672">
        <f t="shared" si="2"/>
        <v>1091668.184446577</v>
      </c>
      <c r="F15" s="672">
        <f t="shared" si="3"/>
        <v>2495586.4328366672</v>
      </c>
      <c r="G15" s="672">
        <f t="shared" si="4"/>
        <v>1257893.4637702256</v>
      </c>
      <c r="H15" s="672">
        <f t="shared" si="5"/>
        <v>1377895.463955991</v>
      </c>
      <c r="I15" s="672">
        <f t="shared" si="6"/>
        <v>1117471.7060324426</v>
      </c>
      <c r="J15" s="672">
        <f t="shared" si="7"/>
        <v>1601350.4470524371</v>
      </c>
      <c r="K15" s="672">
        <f t="shared" si="8"/>
        <v>1159315.5525911751</v>
      </c>
      <c r="L15" s="672">
        <f t="shared" si="9"/>
        <v>836489.99364930531</v>
      </c>
      <c r="M15" s="672">
        <f t="shared" si="10"/>
        <v>1247584.1236741033</v>
      </c>
      <c r="N15" s="672">
        <f t="shared" si="11"/>
        <v>1027783.9360759672</v>
      </c>
      <c r="O15" s="675">
        <f t="shared" si="12"/>
        <v>16877742.114844926</v>
      </c>
    </row>
    <row r="16" spans="1:15" x14ac:dyDescent="0.2">
      <c r="A16" s="645" t="s">
        <v>155</v>
      </c>
      <c r="B16" s="646">
        <f>FGP!U17</f>
        <v>3.1262542546374323</v>
      </c>
      <c r="C16" s="672">
        <f t="shared" si="0"/>
        <v>1317893.1810139285</v>
      </c>
      <c r="D16" s="672">
        <f t="shared" si="1"/>
        <v>2569171.4592528129</v>
      </c>
      <c r="E16" s="672">
        <f t="shared" si="2"/>
        <v>1157906.93482903</v>
      </c>
      <c r="F16" s="672">
        <f t="shared" si="3"/>
        <v>2647010.2163064633</v>
      </c>
      <c r="G16" s="672">
        <f t="shared" si="4"/>
        <v>1334218.2045124273</v>
      </c>
      <c r="H16" s="672">
        <f t="shared" si="5"/>
        <v>1461501.522088357</v>
      </c>
      <c r="I16" s="672">
        <f t="shared" si="6"/>
        <v>1185276.1272383803</v>
      </c>
      <c r="J16" s="672">
        <f t="shared" si="7"/>
        <v>1698515.0013083706</v>
      </c>
      <c r="K16" s="672">
        <f t="shared" si="8"/>
        <v>1229658.9175409486</v>
      </c>
      <c r="L16" s="672">
        <f t="shared" si="9"/>
        <v>887245.39045959618</v>
      </c>
      <c r="M16" s="672">
        <f t="shared" si="10"/>
        <v>1323283.3283651825</v>
      </c>
      <c r="N16" s="672">
        <f t="shared" si="11"/>
        <v>1090146.4053306186</v>
      </c>
      <c r="O16" s="675">
        <f t="shared" si="12"/>
        <v>17901826.688246112</v>
      </c>
    </row>
    <row r="17" spans="1:20" x14ac:dyDescent="0.2">
      <c r="A17" s="645" t="s">
        <v>156</v>
      </c>
      <c r="B17" s="646">
        <f>FGP!U18</f>
        <v>3.5571999751633676</v>
      </c>
      <c r="C17" s="672">
        <f t="shared" si="0"/>
        <v>1499561.2029369026</v>
      </c>
      <c r="D17" s="672">
        <f t="shared" si="1"/>
        <v>2923324.8183470098</v>
      </c>
      <c r="E17" s="672">
        <f t="shared" si="2"/>
        <v>1317521.2840431645</v>
      </c>
      <c r="F17" s="672">
        <f t="shared" si="3"/>
        <v>3011893.4382048678</v>
      </c>
      <c r="G17" s="672">
        <f t="shared" si="4"/>
        <v>1518136.5869119135</v>
      </c>
      <c r="H17" s="672">
        <f t="shared" si="5"/>
        <v>1662965.5666560188</v>
      </c>
      <c r="I17" s="672">
        <f t="shared" si="6"/>
        <v>1348663.2458379748</v>
      </c>
      <c r="J17" s="672">
        <f t="shared" si="7"/>
        <v>1932650.7149910172</v>
      </c>
      <c r="K17" s="672">
        <f t="shared" si="8"/>
        <v>1399164.0841264101</v>
      </c>
      <c r="L17" s="672">
        <f t="shared" si="9"/>
        <v>1009549.775494098</v>
      </c>
      <c r="M17" s="672">
        <f t="shared" si="10"/>
        <v>1505694.3675685269</v>
      </c>
      <c r="N17" s="672">
        <f t="shared" si="11"/>
        <v>1240420.14823783</v>
      </c>
      <c r="O17" s="675">
        <f t="shared" si="12"/>
        <v>20369545.233355731</v>
      </c>
    </row>
    <row r="18" spans="1:20" x14ac:dyDescent="0.2">
      <c r="A18" s="645" t="s">
        <v>157</v>
      </c>
      <c r="B18" s="646">
        <f>FGP!U19</f>
        <v>3.2256653277433607</v>
      </c>
      <c r="C18" s="672">
        <f t="shared" si="0"/>
        <v>1359800.5771155851</v>
      </c>
      <c r="D18" s="672">
        <f t="shared" si="1"/>
        <v>2650867.9787788824</v>
      </c>
      <c r="E18" s="672">
        <f t="shared" si="2"/>
        <v>1194726.963391134</v>
      </c>
      <c r="F18" s="672">
        <f t="shared" si="3"/>
        <v>2731181.9133893354</v>
      </c>
      <c r="G18" s="672">
        <f t="shared" si="4"/>
        <v>1376644.7164544088</v>
      </c>
      <c r="H18" s="672">
        <f t="shared" si="5"/>
        <v>1507975.4883184647</v>
      </c>
      <c r="I18" s="672">
        <f t="shared" si="6"/>
        <v>1222966.4627447836</v>
      </c>
      <c r="J18" s="672">
        <f t="shared" si="7"/>
        <v>1752525.7071606254</v>
      </c>
      <c r="K18" s="672">
        <f t="shared" si="8"/>
        <v>1268760.5716580725</v>
      </c>
      <c r="L18" s="672">
        <f t="shared" si="9"/>
        <v>915458.71195865201</v>
      </c>
      <c r="M18" s="672">
        <f t="shared" si="10"/>
        <v>1365362.1245797991</v>
      </c>
      <c r="N18" s="672">
        <f t="shared" si="11"/>
        <v>1124811.7316826673</v>
      </c>
      <c r="O18" s="675">
        <f t="shared" si="12"/>
        <v>18471082.94723241</v>
      </c>
    </row>
    <row r="19" spans="1:20" x14ac:dyDescent="0.2">
      <c r="A19" s="645" t="s">
        <v>158</v>
      </c>
      <c r="B19" s="646">
        <f>FGP!U20</f>
        <v>3.9058227423840197</v>
      </c>
      <c r="C19" s="672">
        <f t="shared" si="0"/>
        <v>1646525.4388063196</v>
      </c>
      <c r="D19" s="672">
        <f t="shared" si="1"/>
        <v>3209824.7606534977</v>
      </c>
      <c r="E19" s="672">
        <f t="shared" si="2"/>
        <v>1446644.7292029045</v>
      </c>
      <c r="F19" s="672">
        <f t="shared" si="3"/>
        <v>3307073.5327545092</v>
      </c>
      <c r="G19" s="672">
        <f t="shared" si="4"/>
        <v>1666921.3000693009</v>
      </c>
      <c r="H19" s="672">
        <f t="shared" si="5"/>
        <v>1825944.2188791498</v>
      </c>
      <c r="I19" s="672">
        <f t="shared" si="6"/>
        <v>1480838.7535675419</v>
      </c>
      <c r="J19" s="672">
        <f t="shared" si="7"/>
        <v>2122059.8134491933</v>
      </c>
      <c r="K19" s="672">
        <f t="shared" si="8"/>
        <v>1536288.9177623084</v>
      </c>
      <c r="L19" s="672">
        <f t="shared" si="9"/>
        <v>1108490.5263197741</v>
      </c>
      <c r="M19" s="672">
        <f t="shared" si="10"/>
        <v>1653259.6831749913</v>
      </c>
      <c r="N19" s="672">
        <f t="shared" si="11"/>
        <v>1361987.3099420476</v>
      </c>
      <c r="O19" s="675">
        <f t="shared" si="12"/>
        <v>22365858.984581541</v>
      </c>
    </row>
    <row r="20" spans="1:20" x14ac:dyDescent="0.2">
      <c r="A20" s="645" t="s">
        <v>285</v>
      </c>
      <c r="B20" s="646">
        <f>FGP!U21</f>
        <v>2.6233120281771627</v>
      </c>
      <c r="C20" s="672">
        <f t="shared" si="0"/>
        <v>1105874.5553014707</v>
      </c>
      <c r="D20" s="672">
        <f t="shared" si="1"/>
        <v>2155851.0097218622</v>
      </c>
      <c r="E20" s="672">
        <f t="shared" si="2"/>
        <v>971626.40727026353</v>
      </c>
      <c r="F20" s="672">
        <f t="shared" si="3"/>
        <v>2221167.3055203576</v>
      </c>
      <c r="G20" s="672">
        <f t="shared" si="4"/>
        <v>1119573.2589306973</v>
      </c>
      <c r="H20" s="672">
        <f t="shared" si="5"/>
        <v>1226379.6255235367</v>
      </c>
      <c r="I20" s="672">
        <f t="shared" si="6"/>
        <v>994592.52768175583</v>
      </c>
      <c r="J20" s="672">
        <f t="shared" si="7"/>
        <v>1425263.1008376994</v>
      </c>
      <c r="K20" s="672">
        <f t="shared" si="8"/>
        <v>1031835.1503737788</v>
      </c>
      <c r="L20" s="672">
        <f t="shared" si="9"/>
        <v>744508.06465430511</v>
      </c>
      <c r="M20" s="672">
        <f t="shared" si="10"/>
        <v>1110397.5522263744</v>
      </c>
      <c r="N20" s="672">
        <f t="shared" si="11"/>
        <v>914766.98459050106</v>
      </c>
      <c r="O20" s="675">
        <f t="shared" si="12"/>
        <v>15021835.542632604</v>
      </c>
    </row>
    <row r="21" spans="1:20" x14ac:dyDescent="0.2">
      <c r="A21" s="645" t="s">
        <v>286</v>
      </c>
      <c r="B21" s="646">
        <f>FGP!U22</f>
        <v>3.47024316370329</v>
      </c>
      <c r="C21" s="672">
        <f t="shared" si="0"/>
        <v>1462903.9832958721</v>
      </c>
      <c r="D21" s="672">
        <f t="shared" si="1"/>
        <v>2851863.2736375667</v>
      </c>
      <c r="E21" s="672">
        <f t="shared" si="2"/>
        <v>1285314.0843661434</v>
      </c>
      <c r="F21" s="672">
        <f t="shared" si="3"/>
        <v>2938266.8072388093</v>
      </c>
      <c r="G21" s="672">
        <f t="shared" si="4"/>
        <v>1481025.2864844806</v>
      </c>
      <c r="H21" s="672">
        <f t="shared" si="5"/>
        <v>1622313.8787402539</v>
      </c>
      <c r="I21" s="672">
        <f t="shared" si="6"/>
        <v>1315694.7716418949</v>
      </c>
      <c r="J21" s="672">
        <f t="shared" si="7"/>
        <v>1885406.4934080178</v>
      </c>
      <c r="K21" s="672">
        <f t="shared" si="8"/>
        <v>1364961.1019172065</v>
      </c>
      <c r="L21" s="672">
        <f t="shared" si="9"/>
        <v>984871.03094778594</v>
      </c>
      <c r="M21" s="672">
        <f t="shared" si="10"/>
        <v>1468887.2208938044</v>
      </c>
      <c r="N21" s="672">
        <f t="shared" si="11"/>
        <v>1210097.7087588282</v>
      </c>
      <c r="O21" s="675">
        <f t="shared" si="12"/>
        <v>19871605.641330663</v>
      </c>
    </row>
    <row r="22" spans="1:20" x14ac:dyDescent="0.2">
      <c r="A22" s="645" t="s">
        <v>287</v>
      </c>
      <c r="B22" s="646">
        <f>FGP!U23</f>
        <v>6.2041478931823457</v>
      </c>
      <c r="C22" s="672">
        <f t="shared" si="0"/>
        <v>2615399.6241022958</v>
      </c>
      <c r="D22" s="672">
        <f t="shared" si="1"/>
        <v>5098599.9211366568</v>
      </c>
      <c r="E22" s="672">
        <f t="shared" si="2"/>
        <v>2297901.9891182519</v>
      </c>
      <c r="F22" s="672">
        <f t="shared" si="3"/>
        <v>5253073.3328452474</v>
      </c>
      <c r="G22" s="672">
        <f t="shared" si="4"/>
        <v>2647797.1362349456</v>
      </c>
      <c r="H22" s="672">
        <f t="shared" si="5"/>
        <v>2900394.8017653669</v>
      </c>
      <c r="I22" s="672">
        <f t="shared" si="6"/>
        <v>2352216.994742855</v>
      </c>
      <c r="J22" s="672">
        <f t="shared" si="7"/>
        <v>3370755.3540388746</v>
      </c>
      <c r="K22" s="672">
        <f t="shared" si="8"/>
        <v>2440296.0096024992</v>
      </c>
      <c r="L22" s="672">
        <f t="shared" si="9"/>
        <v>1760765.8148054397</v>
      </c>
      <c r="M22" s="672">
        <f t="shared" si="10"/>
        <v>2626096.5375998523</v>
      </c>
      <c r="N22" s="672">
        <f t="shared" si="11"/>
        <v>2163429.1305192173</v>
      </c>
      <c r="O22" s="675">
        <f t="shared" si="12"/>
        <v>35526726.64651151</v>
      </c>
    </row>
    <row r="23" spans="1:20" x14ac:dyDescent="0.2">
      <c r="A23" s="645" t="s">
        <v>162</v>
      </c>
      <c r="B23" s="646">
        <f>FGP!U24</f>
        <v>3.8393518392015826</v>
      </c>
      <c r="C23" s="672">
        <f t="shared" si="0"/>
        <v>1618504.1894437557</v>
      </c>
      <c r="D23" s="672">
        <f t="shared" si="1"/>
        <v>3155198.6383303534</v>
      </c>
      <c r="E23" s="672">
        <f t="shared" si="2"/>
        <v>1422025.1322379035</v>
      </c>
      <c r="F23" s="672">
        <f t="shared" si="3"/>
        <v>3250792.3906976758</v>
      </c>
      <c r="G23" s="672">
        <f t="shared" si="4"/>
        <v>1638552.9455233344</v>
      </c>
      <c r="H23" s="672">
        <f t="shared" si="5"/>
        <v>1794869.5466794679</v>
      </c>
      <c r="I23" s="672">
        <f t="shared" si="6"/>
        <v>1455637.2285856102</v>
      </c>
      <c r="J23" s="672">
        <f t="shared" si="7"/>
        <v>2085945.7238678967</v>
      </c>
      <c r="K23" s="672">
        <f t="shared" si="8"/>
        <v>1510143.7190043896</v>
      </c>
      <c r="L23" s="672">
        <f t="shared" si="9"/>
        <v>1089625.7771200507</v>
      </c>
      <c r="M23" s="672">
        <f t="shared" si="10"/>
        <v>1625123.8276628503</v>
      </c>
      <c r="N23" s="672">
        <f t="shared" si="11"/>
        <v>1338808.4478722326</v>
      </c>
      <c r="O23" s="675">
        <f t="shared" si="12"/>
        <v>21985227.567025524</v>
      </c>
    </row>
    <row r="24" spans="1:20" x14ac:dyDescent="0.2">
      <c r="A24" s="645" t="s">
        <v>163</v>
      </c>
      <c r="B24" s="646">
        <f>FGP!U25</f>
        <v>22.121676932241215</v>
      </c>
      <c r="C24" s="672">
        <f t="shared" si="0"/>
        <v>9325539.3857832458</v>
      </c>
      <c r="D24" s="672">
        <f t="shared" si="1"/>
        <v>18179705.288147405</v>
      </c>
      <c r="E24" s="672">
        <f t="shared" si="2"/>
        <v>8193461.2617936814</v>
      </c>
      <c r="F24" s="672">
        <f t="shared" si="3"/>
        <v>18730499.848056857</v>
      </c>
      <c r="G24" s="672">
        <f t="shared" si="4"/>
        <v>9441056.8281695563</v>
      </c>
      <c r="H24" s="672">
        <f t="shared" si="5"/>
        <v>10341725.871994697</v>
      </c>
      <c r="I24" s="672">
        <f t="shared" si="6"/>
        <v>8387128.3096602699</v>
      </c>
      <c r="J24" s="672">
        <f t="shared" si="7"/>
        <v>12018856.133589393</v>
      </c>
      <c r="K24" s="672">
        <f t="shared" si="8"/>
        <v>8701185.2188091055</v>
      </c>
      <c r="L24" s="672">
        <f t="shared" si="9"/>
        <v>6278234.0426254561</v>
      </c>
      <c r="M24" s="672">
        <f t="shared" si="10"/>
        <v>9363680.5888363048</v>
      </c>
      <c r="N24" s="672">
        <f t="shared" si="11"/>
        <v>7713981.2130747084</v>
      </c>
      <c r="O24" s="675">
        <f t="shared" si="12"/>
        <v>126675053.99054068</v>
      </c>
      <c r="T24" s="649"/>
    </row>
    <row r="25" spans="1:20" x14ac:dyDescent="0.2">
      <c r="A25" s="645" t="s">
        <v>164</v>
      </c>
      <c r="B25" s="646">
        <f>FGP!U26</f>
        <v>3.78887364871294</v>
      </c>
      <c r="C25" s="672">
        <f t="shared" si="0"/>
        <v>1597224.774010343</v>
      </c>
      <c r="D25" s="672">
        <f t="shared" si="1"/>
        <v>3113715.4076795601</v>
      </c>
      <c r="E25" s="672">
        <f t="shared" si="2"/>
        <v>1403328.9411850749</v>
      </c>
      <c r="F25" s="672">
        <f t="shared" si="3"/>
        <v>3208052.33341478</v>
      </c>
      <c r="G25" s="672">
        <f t="shared" si="4"/>
        <v>1617009.9374391746</v>
      </c>
      <c r="H25" s="672">
        <f t="shared" si="5"/>
        <v>1771271.3533712996</v>
      </c>
      <c r="I25" s="672">
        <f t="shared" si="6"/>
        <v>1436499.119763006</v>
      </c>
      <c r="J25" s="672">
        <f t="shared" si="7"/>
        <v>2058520.5828523575</v>
      </c>
      <c r="K25" s="672">
        <f t="shared" si="8"/>
        <v>1490288.9816670108</v>
      </c>
      <c r="L25" s="672">
        <f t="shared" si="9"/>
        <v>1075299.8336164621</v>
      </c>
      <c r="M25" s="672">
        <f t="shared" si="10"/>
        <v>1603757.3799977005</v>
      </c>
      <c r="N25" s="672">
        <f t="shared" si="11"/>
        <v>1321206.3549435595</v>
      </c>
      <c r="O25" s="675">
        <f t="shared" si="12"/>
        <v>21696174.999940328</v>
      </c>
      <c r="T25" s="649"/>
    </row>
    <row r="26" spans="1:20" ht="13.5" thickBot="1" x14ac:dyDescent="0.25">
      <c r="A26" s="645" t="s">
        <v>165</v>
      </c>
      <c r="B26" s="646">
        <f>FGP!U27</f>
        <v>4.8203192371739387</v>
      </c>
      <c r="C26" s="672">
        <f t="shared" si="0"/>
        <v>2032037.491371138</v>
      </c>
      <c r="D26" s="672">
        <f t="shared" si="1"/>
        <v>3961362.576400823</v>
      </c>
      <c r="E26" s="672">
        <f t="shared" si="2"/>
        <v>1785357.3696170133</v>
      </c>
      <c r="F26" s="672">
        <f t="shared" si="3"/>
        <v>4081380.8562534116</v>
      </c>
      <c r="G26" s="672">
        <f t="shared" si="4"/>
        <v>2057208.7725298605</v>
      </c>
      <c r="H26" s="672">
        <f t="shared" si="5"/>
        <v>2253464.7946919892</v>
      </c>
      <c r="I26" s="672">
        <f t="shared" si="6"/>
        <v>1827557.4704184777</v>
      </c>
      <c r="J26" s="672">
        <f t="shared" si="7"/>
        <v>2618911.9209642755</v>
      </c>
      <c r="K26" s="672">
        <f t="shared" si="8"/>
        <v>1895990.5537409792</v>
      </c>
      <c r="L26" s="672">
        <f t="shared" si="9"/>
        <v>1368028.8535016475</v>
      </c>
      <c r="M26" s="672">
        <f t="shared" si="10"/>
        <v>2040348.4695744975</v>
      </c>
      <c r="N26" s="672">
        <f t="shared" si="11"/>
        <v>1680878.5405589575</v>
      </c>
      <c r="O26" s="675">
        <f t="shared" si="12"/>
        <v>27602527.669623069</v>
      </c>
      <c r="T26" s="649"/>
    </row>
    <row r="27" spans="1:20" ht="13.5" thickBot="1" x14ac:dyDescent="0.25">
      <c r="A27" s="650" t="s">
        <v>288</v>
      </c>
      <c r="B27" s="689">
        <f>SUM(B7:B26)</f>
        <v>99.999999999999972</v>
      </c>
      <c r="C27" s="680">
        <f>SUM(C7:C26)</f>
        <v>42155662.133333787</v>
      </c>
      <c r="D27" s="680">
        <f t="shared" ref="D27:N27" si="13">SUM(D7:D26)</f>
        <v>82180502.607609302</v>
      </c>
      <c r="E27" s="680">
        <f t="shared" si="13"/>
        <v>37038156.225182593</v>
      </c>
      <c r="F27" s="680">
        <f t="shared" si="13"/>
        <v>84670343.507087871</v>
      </c>
      <c r="G27" s="680">
        <f t="shared" si="13"/>
        <v>42677853.297865033</v>
      </c>
      <c r="H27" s="680">
        <f t="shared" si="13"/>
        <v>46749285.34428671</v>
      </c>
      <c r="I27" s="680">
        <f t="shared" si="13"/>
        <v>37913619.00524123</v>
      </c>
      <c r="J27" s="680">
        <f t="shared" si="13"/>
        <v>54330673.802005142</v>
      </c>
      <c r="K27" s="680">
        <f t="shared" si="13"/>
        <v>39333298.490258545</v>
      </c>
      <c r="L27" s="680">
        <f t="shared" si="13"/>
        <v>28380461.670495018</v>
      </c>
      <c r="M27" s="680">
        <f t="shared" si="13"/>
        <v>42328077.647627234</v>
      </c>
      <c r="N27" s="680">
        <f t="shared" si="13"/>
        <v>34870689.219007507</v>
      </c>
      <c r="O27" s="680">
        <f>SUM(C27:N27)</f>
        <v>572628622.94999993</v>
      </c>
      <c r="T27" s="649"/>
    </row>
    <row r="28" spans="1:20" x14ac:dyDescent="0.2">
      <c r="A28" s="653"/>
      <c r="B28" s="653"/>
      <c r="C28" s="653"/>
      <c r="D28" s="653"/>
      <c r="E28" s="653"/>
      <c r="F28" s="653"/>
      <c r="G28" s="653"/>
      <c r="H28" s="653"/>
      <c r="I28" s="653"/>
      <c r="J28" s="653"/>
      <c r="K28" s="653"/>
      <c r="L28" s="653"/>
      <c r="M28" s="653"/>
      <c r="N28" s="653"/>
      <c r="O28" s="653"/>
      <c r="T28" s="649"/>
    </row>
    <row r="29" spans="1:20" ht="13.5" thickBot="1" x14ac:dyDescent="0.25">
      <c r="A29" s="654" t="s">
        <v>289</v>
      </c>
    </row>
    <row r="30" spans="1:20" ht="13.5" thickBot="1" x14ac:dyDescent="0.25">
      <c r="A30" s="690" t="s">
        <v>364</v>
      </c>
      <c r="B30" s="691"/>
      <c r="C30" s="680">
        <f>'X22.55 POE'!B13</f>
        <v>121675646.1083338</v>
      </c>
      <c r="D30" s="680">
        <f>'X22.55 POE'!C13</f>
        <v>175586606.83260936</v>
      </c>
      <c r="E30" s="680">
        <f>'X22.55 POE'!D13</f>
        <v>114649513.1251826</v>
      </c>
      <c r="F30" s="680">
        <f>'X22.55 POE'!E13</f>
        <v>170260286.58208787</v>
      </c>
      <c r="G30" s="680">
        <f>'X22.55 POE'!F13</f>
        <v>115158677.62286504</v>
      </c>
      <c r="H30" s="680">
        <f>'X22.55 POE'!G13</f>
        <v>116320912.31928672</v>
      </c>
      <c r="I30" s="680">
        <f>'X22.55 POE'!H13</f>
        <v>124640661.90524124</v>
      </c>
      <c r="J30" s="680">
        <f>'X22.55 POE'!I13</f>
        <v>128994786.75200514</v>
      </c>
      <c r="K30" s="680">
        <f>'X22.55 POE'!J13</f>
        <v>122545311.06525855</v>
      </c>
      <c r="L30" s="680">
        <f>'X22.55 POE'!K13</f>
        <v>123830829.04549502</v>
      </c>
      <c r="M30" s="680">
        <f>'X22.55 POE'!L13</f>
        <v>116968421.59762724</v>
      </c>
      <c r="N30" s="680">
        <f>'X22.55 POE'!M13</f>
        <v>118524986.09400751</v>
      </c>
      <c r="O30" s="692">
        <f>SUM(C30:N30)</f>
        <v>1549156639.05</v>
      </c>
    </row>
    <row r="31" spans="1:20" x14ac:dyDescent="0.2">
      <c r="A31" s="693" t="s">
        <v>365</v>
      </c>
      <c r="B31" s="694"/>
      <c r="C31" s="695">
        <f>'F.G.P. ESTIMACIONES 2014'!C27</f>
        <v>79519983.975000009</v>
      </c>
      <c r="D31" s="695">
        <f>'F.G.P. ESTIMACIONES 2014'!D27</f>
        <v>93406104.225000024</v>
      </c>
      <c r="E31" s="695">
        <f>'F.G.P. ESTIMACIONES 2014'!E27</f>
        <v>77611356.900000006</v>
      </c>
      <c r="F31" s="695">
        <f>'F.G.P. ESTIMACIONES 2014'!F27</f>
        <v>85589943.075000003</v>
      </c>
      <c r="G31" s="695">
        <f>'F.G.P. ESTIMACIONES 2014'!G27</f>
        <v>72480824.325000003</v>
      </c>
      <c r="H31" s="695">
        <f>'F.G.P. ESTIMACIONES 2014'!H27</f>
        <v>69571626.975000009</v>
      </c>
      <c r="I31" s="695">
        <f>'F.G.P. ESTIMACIONES 2014'!I27</f>
        <v>86727042.900000006</v>
      </c>
      <c r="J31" s="695">
        <f>'F.G.P. ESTIMACIONES 2014'!J27</f>
        <v>74664112.950000003</v>
      </c>
      <c r="K31" s="695">
        <f>'F.G.P. ESTIMACIONES 2014'!K27</f>
        <v>83212012.575000003</v>
      </c>
      <c r="L31" s="695">
        <f>'F.G.P. ESTIMACIONES 2014'!L27</f>
        <v>95450367.375</v>
      </c>
      <c r="M31" s="695">
        <f>'F.G.P. ESTIMACIONES 2014'!M27</f>
        <v>74640343.950000003</v>
      </c>
      <c r="N31" s="695">
        <f>'F.G.P. ESTIMACIONES 2014'!N27</f>
        <v>83654296.875</v>
      </c>
      <c r="O31" s="696">
        <f>SUM(C31:N31)</f>
        <v>976528016.10000026</v>
      </c>
    </row>
    <row r="32" spans="1:20" ht="13.5" thickBot="1" x14ac:dyDescent="0.25">
      <c r="A32" s="697" t="s">
        <v>350</v>
      </c>
      <c r="B32" s="698"/>
      <c r="C32" s="699">
        <f>C30-C31</f>
        <v>42155662.133333787</v>
      </c>
      <c r="D32" s="699">
        <f t="shared" ref="D32:N32" si="14">D30-D31</f>
        <v>82180502.607609332</v>
      </c>
      <c r="E32" s="699">
        <f t="shared" si="14"/>
        <v>37038156.225182593</v>
      </c>
      <c r="F32" s="699">
        <f t="shared" si="14"/>
        <v>84670343.507087871</v>
      </c>
      <c r="G32" s="699">
        <f t="shared" si="14"/>
        <v>42677853.297865033</v>
      </c>
      <c r="H32" s="699">
        <f t="shared" si="14"/>
        <v>46749285.34428671</v>
      </c>
      <c r="I32" s="699">
        <f t="shared" si="14"/>
        <v>37913619.00524123</v>
      </c>
      <c r="J32" s="699">
        <f t="shared" si="14"/>
        <v>54330673.802005142</v>
      </c>
      <c r="K32" s="699">
        <f t="shared" si="14"/>
        <v>39333298.490258545</v>
      </c>
      <c r="L32" s="699">
        <f t="shared" si="14"/>
        <v>28380461.670495018</v>
      </c>
      <c r="M32" s="699">
        <f t="shared" si="14"/>
        <v>42328077.647627234</v>
      </c>
      <c r="N32" s="699">
        <f t="shared" si="14"/>
        <v>34870689.219007507</v>
      </c>
      <c r="O32" s="700">
        <f>O30-O31</f>
        <v>572628622.94999969</v>
      </c>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B1:AH65"/>
  <sheetViews>
    <sheetView zoomScale="80" zoomScaleNormal="80" workbookViewId="0">
      <selection activeCell="B1" sqref="B1:Q1"/>
    </sheetView>
  </sheetViews>
  <sheetFormatPr baseColWidth="10" defaultRowHeight="15" x14ac:dyDescent="0.25"/>
  <cols>
    <col min="1" max="1" width="3.7109375" customWidth="1"/>
    <col min="2" max="2" width="3.5703125" style="103" customWidth="1"/>
    <col min="3" max="3" width="22.28515625" customWidth="1"/>
    <col min="4" max="4" width="14" style="41" customWidth="1"/>
    <col min="5" max="5" width="13.7109375" customWidth="1"/>
    <col min="6" max="6" width="13.42578125" customWidth="1"/>
    <col min="7" max="7" width="13.85546875" customWidth="1"/>
    <col min="8" max="8" width="14.42578125" style="5" customWidth="1"/>
    <col min="9" max="9" width="15.140625" customWidth="1"/>
    <col min="10" max="10" width="13.7109375" customWidth="1"/>
    <col min="11" max="11" width="15.85546875" style="5" customWidth="1"/>
    <col min="12" max="12" width="17.5703125" style="5" customWidth="1"/>
    <col min="13" max="13" width="12.5703125" customWidth="1"/>
    <col min="14" max="14" width="13" bestFit="1" customWidth="1"/>
    <col min="15" max="15" width="14.140625" style="5" customWidth="1"/>
    <col min="16" max="16" width="20" hidden="1" customWidth="1"/>
    <col min="17" max="17" width="16.28515625" customWidth="1"/>
    <col min="18" max="18" width="11.42578125" hidden="1" customWidth="1"/>
    <col min="19" max="19" width="16.28515625" hidden="1" customWidth="1"/>
    <col min="20" max="20" width="14.5703125" hidden="1" customWidth="1"/>
    <col min="21" max="21" width="14.28515625" hidden="1" customWidth="1"/>
    <col min="22" max="22" width="18" hidden="1" customWidth="1"/>
    <col min="23" max="30" width="11.42578125" hidden="1" customWidth="1"/>
    <col min="31" max="35" width="0" hidden="1" customWidth="1"/>
  </cols>
  <sheetData>
    <row r="1" spans="2:34" x14ac:dyDescent="0.25">
      <c r="B1" s="1035" t="s">
        <v>455</v>
      </c>
      <c r="C1" s="1035"/>
      <c r="D1" s="1035"/>
      <c r="E1" s="1035"/>
      <c r="F1" s="1035"/>
      <c r="G1" s="1035"/>
      <c r="H1" s="1035"/>
      <c r="I1" s="1035"/>
      <c r="J1" s="1035"/>
      <c r="K1" s="1035"/>
      <c r="L1" s="1035"/>
      <c r="M1" s="1035"/>
      <c r="N1" s="1035"/>
      <c r="O1" s="1035"/>
      <c r="P1" s="1035"/>
      <c r="Q1" s="1035"/>
    </row>
    <row r="2" spans="2:34" ht="15.75" thickBot="1" x14ac:dyDescent="0.3">
      <c r="C2" s="364"/>
      <c r="D2" s="364"/>
      <c r="E2" s="364"/>
      <c r="F2" s="364"/>
      <c r="G2" s="364"/>
      <c r="H2" s="364"/>
      <c r="I2" s="364"/>
      <c r="J2" s="364"/>
      <c r="K2" s="364"/>
      <c r="L2" s="364"/>
      <c r="M2" s="364"/>
      <c r="N2" s="364"/>
      <c r="O2" s="364"/>
      <c r="P2" s="364"/>
    </row>
    <row r="3" spans="2:34" ht="15" customHeight="1" x14ac:dyDescent="0.25">
      <c r="B3" s="1036" t="s">
        <v>81</v>
      </c>
      <c r="C3" s="1056" t="s">
        <v>83</v>
      </c>
      <c r="D3" s="1059">
        <v>2014</v>
      </c>
      <c r="E3" s="1060"/>
      <c r="F3" s="1059" t="s">
        <v>139</v>
      </c>
      <c r="G3" s="1061"/>
      <c r="H3" s="1060"/>
      <c r="I3" s="1059" t="s">
        <v>140</v>
      </c>
      <c r="J3" s="1061"/>
      <c r="K3" s="1061"/>
      <c r="L3" s="1060"/>
      <c r="M3" s="1059" t="s">
        <v>29</v>
      </c>
      <c r="N3" s="1061"/>
      <c r="O3" s="1060"/>
      <c r="P3" s="106"/>
      <c r="Q3" s="1039" t="s">
        <v>461</v>
      </c>
    </row>
    <row r="4" spans="2:34" ht="15" customHeight="1" x14ac:dyDescent="0.25">
      <c r="B4" s="1037"/>
      <c r="C4" s="1057"/>
      <c r="D4" s="1062" t="s">
        <v>292</v>
      </c>
      <c r="E4" s="1065" t="s">
        <v>293</v>
      </c>
      <c r="F4" s="473" t="s">
        <v>38</v>
      </c>
      <c r="G4" s="138" t="s">
        <v>144</v>
      </c>
      <c r="H4" s="478" t="s">
        <v>89</v>
      </c>
      <c r="I4" s="1049" t="s">
        <v>86</v>
      </c>
      <c r="J4" s="1050"/>
      <c r="K4" s="480" t="s">
        <v>207</v>
      </c>
      <c r="L4" s="1046" t="s">
        <v>520</v>
      </c>
      <c r="M4" s="1049" t="s">
        <v>260</v>
      </c>
      <c r="N4" s="1050"/>
      <c r="O4" s="483" t="s">
        <v>87</v>
      </c>
      <c r="P4" s="107" t="s">
        <v>88</v>
      </c>
      <c r="Q4" s="1040"/>
    </row>
    <row r="5" spans="2:34" x14ac:dyDescent="0.25">
      <c r="B5" s="1037"/>
      <c r="C5" s="1057"/>
      <c r="D5" s="1063"/>
      <c r="E5" s="1066"/>
      <c r="F5" s="473" t="s">
        <v>90</v>
      </c>
      <c r="G5" s="138"/>
      <c r="H5" s="474" t="s">
        <v>205</v>
      </c>
      <c r="I5" s="1042">
        <v>2020</v>
      </c>
      <c r="J5" s="1043"/>
      <c r="K5" s="403" t="s">
        <v>206</v>
      </c>
      <c r="L5" s="1047"/>
      <c r="M5" s="1044">
        <v>2020</v>
      </c>
      <c r="N5" s="1045"/>
      <c r="O5" s="467" t="s">
        <v>261</v>
      </c>
      <c r="P5" s="108" t="s">
        <v>92</v>
      </c>
      <c r="Q5" s="1040"/>
    </row>
    <row r="6" spans="2:34" x14ac:dyDescent="0.25">
      <c r="B6" s="1037"/>
      <c r="C6" s="1057"/>
      <c r="D6" s="1064"/>
      <c r="E6" s="1067"/>
      <c r="F6" s="475" t="s">
        <v>204</v>
      </c>
      <c r="G6" s="476" t="s">
        <v>91</v>
      </c>
      <c r="H6" s="477" t="s">
        <v>93</v>
      </c>
      <c r="I6" s="475" t="s">
        <v>94</v>
      </c>
      <c r="J6" s="479" t="s">
        <v>85</v>
      </c>
      <c r="K6" s="481" t="s">
        <v>93</v>
      </c>
      <c r="L6" s="1048"/>
      <c r="M6" s="484" t="s">
        <v>94</v>
      </c>
      <c r="N6" s="294" t="s">
        <v>85</v>
      </c>
      <c r="O6" s="485" t="s">
        <v>95</v>
      </c>
      <c r="P6" s="110" t="s">
        <v>96</v>
      </c>
      <c r="Q6" s="1041"/>
    </row>
    <row r="7" spans="2:34" ht="15.75" thickBot="1" x14ac:dyDescent="0.3">
      <c r="B7" s="1038"/>
      <c r="C7" s="1058"/>
      <c r="D7" s="111" t="s">
        <v>70</v>
      </c>
      <c r="E7" s="109" t="s">
        <v>97</v>
      </c>
      <c r="F7" s="112" t="s">
        <v>71</v>
      </c>
      <c r="G7" s="113" t="s">
        <v>98</v>
      </c>
      <c r="H7" s="114" t="s">
        <v>99</v>
      </c>
      <c r="I7" s="471" t="s">
        <v>100</v>
      </c>
      <c r="J7" s="472" t="s">
        <v>74</v>
      </c>
      <c r="K7" s="482" t="s">
        <v>101</v>
      </c>
      <c r="L7" s="466" t="s">
        <v>76</v>
      </c>
      <c r="M7" s="471" t="s">
        <v>102</v>
      </c>
      <c r="N7" s="24" t="s">
        <v>78</v>
      </c>
      <c r="O7" s="466" t="s">
        <v>103</v>
      </c>
      <c r="P7" s="115" t="s">
        <v>104</v>
      </c>
      <c r="Q7" s="116" t="s">
        <v>105</v>
      </c>
      <c r="S7" t="s">
        <v>106</v>
      </c>
      <c r="T7" t="s">
        <v>107</v>
      </c>
      <c r="U7" t="s">
        <v>108</v>
      </c>
      <c r="V7" t="s">
        <v>106</v>
      </c>
      <c r="W7" t="s">
        <v>107</v>
      </c>
      <c r="X7" t="s">
        <v>108</v>
      </c>
      <c r="Y7" s="104" t="s">
        <v>109</v>
      </c>
      <c r="Z7" s="104" t="s">
        <v>110</v>
      </c>
      <c r="AA7" s="104" t="s">
        <v>111</v>
      </c>
      <c r="AB7" s="104" t="s">
        <v>110</v>
      </c>
    </row>
    <row r="8" spans="2:34" ht="25.5" customHeight="1" x14ac:dyDescent="0.25">
      <c r="B8" s="498" t="s">
        <v>112</v>
      </c>
      <c r="C8" s="117" t="s">
        <v>45</v>
      </c>
      <c r="D8" s="118">
        <v>3.62</v>
      </c>
      <c r="E8" s="459">
        <v>15655542.292800002</v>
      </c>
      <c r="F8" s="449">
        <f>'CENSO 2020'!C10</f>
        <v>37232</v>
      </c>
      <c r="G8" s="486">
        <f t="shared" ref="G8:G28" si="0">F8/F$28*100</f>
        <v>3.0136241193535018</v>
      </c>
      <c r="H8" s="492">
        <f>((Datos!K$24*0.7)*0.5)*G8%</f>
        <v>1049570.1104376037</v>
      </c>
      <c r="I8" s="449">
        <f>'Predial y Agua'!G9</f>
        <v>10441632</v>
      </c>
      <c r="J8" s="486">
        <f>I8/I$28*100</f>
        <v>1.4535430199507424</v>
      </c>
      <c r="K8" s="450">
        <f>((Datos!K$24*0.7)*(0.5))*FFM!J8%</f>
        <v>506232.77739852545</v>
      </c>
      <c r="L8" s="451">
        <f>H8+K8</f>
        <v>1555802.8878361292</v>
      </c>
      <c r="M8" s="449">
        <v>0</v>
      </c>
      <c r="N8" s="486">
        <v>0</v>
      </c>
      <c r="O8" s="487">
        <v>0</v>
      </c>
      <c r="P8" s="121">
        <f>H8+K8+O8</f>
        <v>1555802.8878361292</v>
      </c>
      <c r="Q8" s="119">
        <f>E8+L8+O8</f>
        <v>17211345.18063613</v>
      </c>
      <c r="R8" s="122">
        <f t="shared" ref="R8:R27" si="1">G8+J8</f>
        <v>4.4671671393042445</v>
      </c>
      <c r="S8" s="122">
        <f>R8/2</f>
        <v>2.2335835696521222</v>
      </c>
      <c r="T8" s="122">
        <f>2.480738</f>
        <v>2.4807380000000001</v>
      </c>
      <c r="U8" s="123">
        <f>S8-T8</f>
        <v>-0.24715443034787787</v>
      </c>
      <c r="V8" s="122">
        <f>N8</f>
        <v>0</v>
      </c>
      <c r="X8" s="122">
        <f>V8-W8</f>
        <v>0</v>
      </c>
      <c r="Y8" s="104">
        <v>3.3898570000000001</v>
      </c>
      <c r="Z8" s="124">
        <f>S8-Y8</f>
        <v>-1.1562734303478779</v>
      </c>
      <c r="AA8" s="104"/>
      <c r="AB8" s="104"/>
      <c r="AG8" s="122">
        <f>G8+J8</f>
        <v>4.4671671393042445</v>
      </c>
      <c r="AH8" s="122">
        <f>AG8/2</f>
        <v>2.2335835696521222</v>
      </c>
    </row>
    <row r="9" spans="2:34" ht="25.5" customHeight="1" x14ac:dyDescent="0.25">
      <c r="B9" s="494" t="s">
        <v>112</v>
      </c>
      <c r="C9" s="117" t="s">
        <v>46</v>
      </c>
      <c r="D9" s="118">
        <v>2.4700000000000002</v>
      </c>
      <c r="E9" s="447">
        <v>10682096.536800001</v>
      </c>
      <c r="F9" s="454">
        <f>'CENSO 2020'!C11</f>
        <v>15393</v>
      </c>
      <c r="G9" s="426">
        <f t="shared" si="0"/>
        <v>1.2459367229589724</v>
      </c>
      <c r="H9" s="120">
        <f>((Datos!K$24*0.7)*0.5)*G9%</f>
        <v>433928.68258396094</v>
      </c>
      <c r="I9" s="454">
        <f>'Predial y Agua'!G10</f>
        <v>4832614</v>
      </c>
      <c r="J9" s="426">
        <f t="shared" ref="J9:J27" si="2">I9/I$28*100</f>
        <v>0.6727312691939572</v>
      </c>
      <c r="K9" s="171">
        <f>((Datos!K$24*0.7)*(0.5))*FFM!J9%</f>
        <v>234295.52078784214</v>
      </c>
      <c r="L9" s="455">
        <f t="shared" ref="L9:L27" si="3">H9+K9</f>
        <v>668224.20337180304</v>
      </c>
      <c r="M9" s="454">
        <v>0</v>
      </c>
      <c r="N9" s="426">
        <v>0</v>
      </c>
      <c r="O9" s="488">
        <v>0</v>
      </c>
      <c r="P9" s="121">
        <f t="shared" ref="P9:P27" si="4">H9+K9+O9</f>
        <v>668224.20337180304</v>
      </c>
      <c r="Q9" s="119">
        <f t="shared" ref="Q9:Q27" si="5">E9+L9+O9</f>
        <v>11350320.740171803</v>
      </c>
      <c r="R9" s="122">
        <f t="shared" si="1"/>
        <v>1.9186679921529297</v>
      </c>
      <c r="S9" s="122">
        <f t="shared" ref="S9:S28" si="6">R9/2</f>
        <v>0.95933399607646486</v>
      </c>
      <c r="T9" s="122">
        <v>1.0658129999999999</v>
      </c>
      <c r="U9" s="123">
        <f t="shared" ref="U9:U27" si="7">S9-T9</f>
        <v>-0.10647900392353504</v>
      </c>
      <c r="V9" s="122">
        <f t="shared" ref="V9:V27" si="8">N9</f>
        <v>0</v>
      </c>
      <c r="X9" s="122">
        <f t="shared" ref="X9:X27" si="9">V9-W9</f>
        <v>0</v>
      </c>
      <c r="Y9" s="104">
        <v>1.4561059999999999</v>
      </c>
      <c r="Z9" s="124">
        <f t="shared" ref="Z9:Z27" si="10">S9-Y9</f>
        <v>-0.49677200392353504</v>
      </c>
      <c r="AA9" s="104"/>
      <c r="AB9" s="104"/>
      <c r="AG9" s="122">
        <f t="shared" ref="AG9:AG28" si="11">G9+J9</f>
        <v>1.9186679921529297</v>
      </c>
      <c r="AH9" s="122">
        <f t="shared" ref="AH9:AH28" si="12">AG9/2</f>
        <v>0.95933399607646486</v>
      </c>
    </row>
    <row r="10" spans="2:34" ht="25.5" customHeight="1" x14ac:dyDescent="0.25">
      <c r="B10" s="494" t="s">
        <v>112</v>
      </c>
      <c r="C10" s="117" t="s">
        <v>47</v>
      </c>
      <c r="D10" s="118">
        <v>2.33</v>
      </c>
      <c r="E10" s="447">
        <v>10076633.575200001</v>
      </c>
      <c r="F10" s="454">
        <f>'CENSO 2020'!C12</f>
        <v>11536</v>
      </c>
      <c r="G10" s="426">
        <f t="shared" si="0"/>
        <v>0.93374430169912959</v>
      </c>
      <c r="H10" s="120">
        <f>((Datos!K$24*0.7)*0.5)*G10%</f>
        <v>325199.84943081741</v>
      </c>
      <c r="I10" s="454">
        <f>'Predial y Agua'!G11</f>
        <v>3371752</v>
      </c>
      <c r="J10" s="426">
        <f t="shared" si="2"/>
        <v>0.46936978669665397</v>
      </c>
      <c r="K10" s="171">
        <f>((Datos!K$24*0.7)*(0.5))*FFM!J10%</f>
        <v>163469.7889811701</v>
      </c>
      <c r="L10" s="455">
        <f t="shared" si="3"/>
        <v>488669.63841198751</v>
      </c>
      <c r="M10" s="454">
        <v>0</v>
      </c>
      <c r="N10" s="426">
        <v>0</v>
      </c>
      <c r="O10" s="488">
        <v>0</v>
      </c>
      <c r="P10" s="121">
        <f t="shared" si="4"/>
        <v>488669.63841198751</v>
      </c>
      <c r="Q10" s="119">
        <f t="shared" si="5"/>
        <v>10565303.213611988</v>
      </c>
      <c r="R10" s="122">
        <f t="shared" si="1"/>
        <v>1.4031140883957836</v>
      </c>
      <c r="S10" s="122">
        <f t="shared" si="6"/>
        <v>0.70155704419789178</v>
      </c>
      <c r="T10" s="122">
        <v>0.85747200000000001</v>
      </c>
      <c r="U10" s="123">
        <f t="shared" si="7"/>
        <v>-0.15591495580210823</v>
      </c>
      <c r="V10" s="122">
        <f t="shared" si="8"/>
        <v>0</v>
      </c>
      <c r="X10" s="122">
        <f t="shared" si="9"/>
        <v>0</v>
      </c>
      <c r="Y10" s="104">
        <v>1.167629</v>
      </c>
      <c r="Z10" s="124">
        <f t="shared" si="10"/>
        <v>-0.46607195580210825</v>
      </c>
      <c r="AA10" s="104"/>
      <c r="AB10" s="104"/>
      <c r="AG10" s="122">
        <f t="shared" si="11"/>
        <v>1.4031140883957836</v>
      </c>
      <c r="AH10" s="122">
        <f t="shared" si="12"/>
        <v>0.70155704419789178</v>
      </c>
    </row>
    <row r="11" spans="2:34" ht="25.5" customHeight="1" x14ac:dyDescent="0.25">
      <c r="B11" s="494" t="s">
        <v>112</v>
      </c>
      <c r="C11" s="117" t="s">
        <v>48</v>
      </c>
      <c r="D11" s="118">
        <v>2.81</v>
      </c>
      <c r="E11" s="447">
        <v>12152506.5864</v>
      </c>
      <c r="F11" s="454">
        <f>'CENSO 2020'!C13</f>
        <v>187632</v>
      </c>
      <c r="G11" s="426">
        <f t="shared" si="0"/>
        <v>15.187266887691669</v>
      </c>
      <c r="H11" s="120">
        <f>((Datos!K$24*0.7)*0.5)*G11%</f>
        <v>5289346.2333913948</v>
      </c>
      <c r="I11" s="454">
        <f>'Predial y Agua'!G12</f>
        <v>300634231</v>
      </c>
      <c r="J11" s="426">
        <f t="shared" si="2"/>
        <v>41.850238356255915</v>
      </c>
      <c r="K11" s="171">
        <f>((Datos!K$24*0.7)*(0.5))*FFM!J11%</f>
        <v>14575394.128063494</v>
      </c>
      <c r="L11" s="455">
        <f t="shared" si="3"/>
        <v>19864740.361454889</v>
      </c>
      <c r="M11" s="454">
        <v>0</v>
      </c>
      <c r="N11" s="426">
        <v>0</v>
      </c>
      <c r="O11" s="488">
        <v>0</v>
      </c>
      <c r="P11" s="121">
        <f t="shared" si="4"/>
        <v>19864740.361454889</v>
      </c>
      <c r="Q11" s="119">
        <f t="shared" si="5"/>
        <v>32017246.947854891</v>
      </c>
      <c r="R11" s="122">
        <f t="shared" si="1"/>
        <v>57.037505243947585</v>
      </c>
      <c r="S11" s="122">
        <f t="shared" si="6"/>
        <v>28.518752621973793</v>
      </c>
      <c r="T11" s="122">
        <v>26.514603000000001</v>
      </c>
      <c r="U11" s="123">
        <f t="shared" si="7"/>
        <v>2.0041496219737915</v>
      </c>
      <c r="V11" s="122">
        <f t="shared" si="8"/>
        <v>0</v>
      </c>
      <c r="X11" s="122">
        <f t="shared" si="9"/>
        <v>0</v>
      </c>
      <c r="Y11" s="104">
        <v>39.874909000000002</v>
      </c>
      <c r="Z11" s="124">
        <f t="shared" si="10"/>
        <v>-11.35615637802621</v>
      </c>
      <c r="AA11" s="104"/>
      <c r="AB11" s="104"/>
      <c r="AG11" s="122">
        <f t="shared" si="11"/>
        <v>57.037505243947585</v>
      </c>
      <c r="AH11" s="122">
        <f t="shared" si="12"/>
        <v>28.518752621973793</v>
      </c>
    </row>
    <row r="12" spans="2:34" ht="25.5" customHeight="1" x14ac:dyDescent="0.25">
      <c r="B12" s="494" t="s">
        <v>112</v>
      </c>
      <c r="C12" s="117" t="s">
        <v>49</v>
      </c>
      <c r="D12" s="118">
        <v>4.6399999999999997</v>
      </c>
      <c r="E12" s="447">
        <v>20066772.441599999</v>
      </c>
      <c r="F12" s="454">
        <f>'CENSO 2020'!C14</f>
        <v>77436</v>
      </c>
      <c r="G12" s="426">
        <f t="shared" si="0"/>
        <v>6.2678071902196431</v>
      </c>
      <c r="H12" s="120">
        <f>((Datos!K$24*0.7)*0.5)*G12%</f>
        <v>2182920.9033048525</v>
      </c>
      <c r="I12" s="454">
        <f>'Predial y Agua'!G13</f>
        <v>33277744</v>
      </c>
      <c r="J12" s="426">
        <f t="shared" si="2"/>
        <v>4.6324781902778893</v>
      </c>
      <c r="K12" s="171">
        <f>((Datos!K$24*0.7)*(0.5))*FFM!J12%</f>
        <v>1613376.6034540497</v>
      </c>
      <c r="L12" s="455">
        <f t="shared" si="3"/>
        <v>3796297.5067589022</v>
      </c>
      <c r="M12" s="454">
        <v>0</v>
      </c>
      <c r="N12" s="426">
        <v>0</v>
      </c>
      <c r="O12" s="488">
        <v>0</v>
      </c>
      <c r="P12" s="121">
        <f t="shared" si="4"/>
        <v>3796297.5067589022</v>
      </c>
      <c r="Q12" s="119">
        <f t="shared" si="5"/>
        <v>23863069.948358901</v>
      </c>
      <c r="R12" s="122">
        <f t="shared" si="1"/>
        <v>10.900285380497532</v>
      </c>
      <c r="S12" s="122">
        <f t="shared" si="6"/>
        <v>5.4501426902487662</v>
      </c>
      <c r="T12" s="122">
        <v>5.371861</v>
      </c>
      <c r="U12" s="123">
        <f t="shared" si="7"/>
        <v>7.8281690248766189E-2</v>
      </c>
      <c r="V12" s="122">
        <f t="shared" si="8"/>
        <v>0</v>
      </c>
      <c r="X12" s="122">
        <f t="shared" si="9"/>
        <v>0</v>
      </c>
      <c r="Y12" s="104">
        <v>7.3199050000000003</v>
      </c>
      <c r="Z12" s="124">
        <f t="shared" si="10"/>
        <v>-1.8697623097512341</v>
      </c>
      <c r="AA12" s="104"/>
      <c r="AB12" s="104"/>
      <c r="AG12" s="122">
        <f t="shared" si="11"/>
        <v>10.900285380497532</v>
      </c>
      <c r="AH12" s="122">
        <f t="shared" si="12"/>
        <v>5.4501426902487662</v>
      </c>
    </row>
    <row r="13" spans="2:34" s="5" customFormat="1" ht="25.5" customHeight="1" x14ac:dyDescent="0.25">
      <c r="B13" s="495" t="s">
        <v>113</v>
      </c>
      <c r="C13" s="125" t="s">
        <v>50</v>
      </c>
      <c r="D13" s="126">
        <v>1.5</v>
      </c>
      <c r="E13" s="470">
        <v>6487103.1600000001</v>
      </c>
      <c r="F13" s="454">
        <f>'CENSO 2020'!C15</f>
        <v>47550</v>
      </c>
      <c r="G13" s="490">
        <f t="shared" si="0"/>
        <v>3.8487813406547868</v>
      </c>
      <c r="H13" s="120">
        <f>((Datos!K$24*0.7)*0.5)*G13%</f>
        <v>1340434.5388726916</v>
      </c>
      <c r="I13" s="454">
        <f>'Predial y Agua'!G14</f>
        <v>119914</v>
      </c>
      <c r="J13" s="490">
        <f t="shared" si="2"/>
        <v>1.6692807953236941E-2</v>
      </c>
      <c r="K13" s="171">
        <f>((Datos!K$24*0.7)*(0.5))*FFM!J13%</f>
        <v>5813.6886330572443</v>
      </c>
      <c r="L13" s="470">
        <f t="shared" si="3"/>
        <v>1346248.2275057489</v>
      </c>
      <c r="M13" s="489">
        <f>'FGP 30%'!I41</f>
        <v>20358</v>
      </c>
      <c r="N13" s="490">
        <f>M13/M$28*100</f>
        <v>0.31085381884634111</v>
      </c>
      <c r="O13" s="470">
        <f>(Datos!K24-FFM!H28-FFM!K$28)*FFM!N13%</f>
        <v>92796.541133100225</v>
      </c>
      <c r="P13" s="127">
        <f t="shared" si="4"/>
        <v>1439044.768638849</v>
      </c>
      <c r="Q13" s="128">
        <f t="shared" si="5"/>
        <v>7926147.9286388494</v>
      </c>
      <c r="R13" s="93">
        <f t="shared" si="1"/>
        <v>3.865474148608024</v>
      </c>
      <c r="S13" s="93">
        <f t="shared" si="6"/>
        <v>1.932737074304012</v>
      </c>
      <c r="T13" s="93">
        <v>1.826878</v>
      </c>
      <c r="U13" s="129">
        <f t="shared" si="7"/>
        <v>0.10585907430401198</v>
      </c>
      <c r="V13" s="93">
        <f t="shared" si="8"/>
        <v>0.31085381884634111</v>
      </c>
      <c r="W13" s="5">
        <v>0.35585699999999998</v>
      </c>
      <c r="X13" s="93">
        <f t="shared" si="9"/>
        <v>-4.5003181153658867E-2</v>
      </c>
      <c r="Y13" s="130">
        <v>2.5551330000000001</v>
      </c>
      <c r="Z13" s="131">
        <f t="shared" si="10"/>
        <v>-0.62239592569598812</v>
      </c>
      <c r="AA13" s="130">
        <v>16.147120999999999</v>
      </c>
      <c r="AB13" s="130">
        <f>W13-AA13</f>
        <v>-15.791263999999998</v>
      </c>
      <c r="AG13" s="122">
        <f t="shared" si="11"/>
        <v>3.865474148608024</v>
      </c>
      <c r="AH13" s="122">
        <f t="shared" si="12"/>
        <v>1.932737074304012</v>
      </c>
    </row>
    <row r="14" spans="2:34" s="5" customFormat="1" ht="25.5" customHeight="1" x14ac:dyDescent="0.25">
      <c r="B14" s="495" t="s">
        <v>113</v>
      </c>
      <c r="C14" s="125" t="s">
        <v>51</v>
      </c>
      <c r="D14" s="126">
        <v>1.53</v>
      </c>
      <c r="E14" s="470">
        <v>6616845.2232000008</v>
      </c>
      <c r="F14" s="454">
        <f>'CENSO 2020'!C16</f>
        <v>12230</v>
      </c>
      <c r="G14" s="490">
        <f t="shared" si="0"/>
        <v>0.98991789266473262</v>
      </c>
      <c r="H14" s="120">
        <f>((Datos!K$24*0.7)*0.5)*G14%</f>
        <v>344763.70999817067</v>
      </c>
      <c r="I14" s="454">
        <f>'Predial y Agua'!G15</f>
        <v>124702</v>
      </c>
      <c r="J14" s="490">
        <f t="shared" si="2"/>
        <v>1.735932866374696E-2</v>
      </c>
      <c r="K14" s="171">
        <f>((Datos!K$24*0.7)*(0.5))*FFM!J14%</f>
        <v>6045.8211711685417</v>
      </c>
      <c r="L14" s="470">
        <f t="shared" si="3"/>
        <v>350809.5311693392</v>
      </c>
      <c r="M14" s="489">
        <f>'FGP 30%'!I42</f>
        <v>17488</v>
      </c>
      <c r="N14" s="490">
        <f>M14/M$28*100</f>
        <v>0.26703072914750042</v>
      </c>
      <c r="O14" s="470">
        <f>(Datos!K24-FFM!H28-FFM!K$28)*FFM!N14%</f>
        <v>79714.407669498803</v>
      </c>
      <c r="P14" s="127">
        <f t="shared" si="4"/>
        <v>430523.93883883802</v>
      </c>
      <c r="Q14" s="128">
        <f t="shared" si="5"/>
        <v>7047369.1620388385</v>
      </c>
      <c r="R14" s="93">
        <f t="shared" si="1"/>
        <v>1.0072772213284795</v>
      </c>
      <c r="S14" s="93">
        <f t="shared" si="6"/>
        <v>0.50363861066423976</v>
      </c>
      <c r="T14" s="93">
        <v>0.53989200000000004</v>
      </c>
      <c r="U14" s="129">
        <f t="shared" si="7"/>
        <v>-3.6253389335760278E-2</v>
      </c>
      <c r="V14" s="93">
        <f t="shared" si="8"/>
        <v>0.26703072914750042</v>
      </c>
      <c r="W14" s="5">
        <v>0.19699800000000001</v>
      </c>
      <c r="X14" s="93">
        <f t="shared" si="9"/>
        <v>7.0032729147500417E-2</v>
      </c>
      <c r="Y14" s="130">
        <v>0.75530600000000003</v>
      </c>
      <c r="Z14" s="131">
        <f t="shared" si="10"/>
        <v>-0.25166738933576027</v>
      </c>
      <c r="AA14" s="130">
        <v>4.7731430000000001</v>
      </c>
      <c r="AB14" s="130">
        <f t="shared" ref="AB14:AB26" si="13">W14-AA14</f>
        <v>-4.5761450000000004</v>
      </c>
      <c r="AG14" s="122">
        <f t="shared" si="11"/>
        <v>1.0072772213284795</v>
      </c>
      <c r="AH14" s="122">
        <f t="shared" si="12"/>
        <v>0.50363861066423976</v>
      </c>
    </row>
    <row r="15" spans="2:34" s="5" customFormat="1" ht="25.5" customHeight="1" x14ac:dyDescent="0.25">
      <c r="B15" s="496" t="s">
        <v>112</v>
      </c>
      <c r="C15" s="117" t="s">
        <v>52</v>
      </c>
      <c r="D15" s="132">
        <v>3.16</v>
      </c>
      <c r="E15" s="455">
        <v>13666163.990400001</v>
      </c>
      <c r="F15" s="454">
        <f>'CENSO 2020'!C17</f>
        <v>29299</v>
      </c>
      <c r="G15" s="426">
        <f t="shared" si="0"/>
        <v>2.3715130283878989</v>
      </c>
      <c r="H15" s="120">
        <f>((Datos!K$24*0.7)*0.5)*G15%</f>
        <v>825938.83395228162</v>
      </c>
      <c r="I15" s="454">
        <f>'Predial y Agua'!G16</f>
        <v>12844378</v>
      </c>
      <c r="J15" s="426">
        <f t="shared" si="2"/>
        <v>1.7880208752337641</v>
      </c>
      <c r="K15" s="171">
        <f>((Datos!K$24*0.7)*(0.5))*FFM!J15%</f>
        <v>622723.07134521869</v>
      </c>
      <c r="L15" s="455">
        <f t="shared" si="3"/>
        <v>1448661.9052975003</v>
      </c>
      <c r="M15" s="454">
        <v>0</v>
      </c>
      <c r="N15" s="426">
        <v>0</v>
      </c>
      <c r="O15" s="470">
        <v>0</v>
      </c>
      <c r="P15" s="133">
        <f t="shared" si="4"/>
        <v>1448661.9052975003</v>
      </c>
      <c r="Q15" s="119">
        <f t="shared" si="5"/>
        <v>15114825.895697502</v>
      </c>
      <c r="R15" s="93">
        <f t="shared" si="1"/>
        <v>4.1595339036216625</v>
      </c>
      <c r="S15" s="93">
        <f t="shared" si="6"/>
        <v>2.0797669518108313</v>
      </c>
      <c r="T15" s="93">
        <v>2.598125</v>
      </c>
      <c r="U15" s="129">
        <f t="shared" si="7"/>
        <v>-0.51835804818916875</v>
      </c>
      <c r="V15" s="93">
        <f t="shared" si="8"/>
        <v>0</v>
      </c>
      <c r="X15" s="93">
        <f t="shared" si="9"/>
        <v>0</v>
      </c>
      <c r="Y15" s="130">
        <v>3.512527</v>
      </c>
      <c r="Z15" s="131">
        <f t="shared" si="10"/>
        <v>-1.4327600481891687</v>
      </c>
      <c r="AA15" s="130"/>
      <c r="AB15" s="130">
        <f t="shared" si="13"/>
        <v>0</v>
      </c>
      <c r="AG15" s="122">
        <f t="shared" si="11"/>
        <v>4.1595339036216625</v>
      </c>
      <c r="AH15" s="122">
        <f t="shared" si="12"/>
        <v>2.0797669518108313</v>
      </c>
    </row>
    <row r="16" spans="2:34" s="5" customFormat="1" ht="25.5" customHeight="1" x14ac:dyDescent="0.25">
      <c r="B16" s="496" t="s">
        <v>112</v>
      </c>
      <c r="C16" s="117" t="s">
        <v>53</v>
      </c>
      <c r="D16" s="132">
        <v>2.81</v>
      </c>
      <c r="E16" s="455">
        <v>12152506.5864</v>
      </c>
      <c r="F16" s="454">
        <f>'CENSO 2020'!C18</f>
        <v>19321</v>
      </c>
      <c r="G16" s="426">
        <f t="shared" si="0"/>
        <v>1.563876010153336</v>
      </c>
      <c r="H16" s="120">
        <f>((Datos!K$24*0.7)*0.5)*G16%</f>
        <v>544659.00579514762</v>
      </c>
      <c r="I16" s="454">
        <f>'Predial y Agua'!G17</f>
        <v>3780718</v>
      </c>
      <c r="J16" s="426">
        <f t="shared" si="2"/>
        <v>0.52630051119423971</v>
      </c>
      <c r="K16" s="171">
        <f>((Datos!K$24*0.7)*(0.5))*FFM!J16%</f>
        <v>183297.34027215271</v>
      </c>
      <c r="L16" s="455">
        <f t="shared" si="3"/>
        <v>727956.3460673003</v>
      </c>
      <c r="M16" s="454">
        <v>0</v>
      </c>
      <c r="N16" s="426">
        <v>0</v>
      </c>
      <c r="O16" s="470">
        <v>0</v>
      </c>
      <c r="P16" s="133">
        <f t="shared" si="4"/>
        <v>727956.3460673003</v>
      </c>
      <c r="Q16" s="119">
        <f t="shared" si="5"/>
        <v>12880462.9324673</v>
      </c>
      <c r="R16" s="93">
        <f t="shared" si="1"/>
        <v>2.0901765213475758</v>
      </c>
      <c r="S16" s="93">
        <f t="shared" si="6"/>
        <v>1.0450882606737879</v>
      </c>
      <c r="T16" s="93">
        <v>1.1819949999999999</v>
      </c>
      <c r="U16" s="129">
        <f t="shared" si="7"/>
        <v>-0.136906739326212</v>
      </c>
      <c r="V16" s="93">
        <f t="shared" si="8"/>
        <v>0</v>
      </c>
      <c r="X16" s="93">
        <f t="shared" si="9"/>
        <v>0</v>
      </c>
      <c r="Y16" s="130">
        <v>1.6183019999999999</v>
      </c>
      <c r="Z16" s="131">
        <f t="shared" si="10"/>
        <v>-0.573213739326212</v>
      </c>
      <c r="AA16" s="130"/>
      <c r="AB16" s="130">
        <f t="shared" si="13"/>
        <v>0</v>
      </c>
      <c r="AG16" s="122">
        <f t="shared" si="11"/>
        <v>2.0901765213475758</v>
      </c>
      <c r="AH16" s="122">
        <f t="shared" si="12"/>
        <v>1.0450882606737879</v>
      </c>
    </row>
    <row r="17" spans="2:34" s="5" customFormat="1" ht="25.5" customHeight="1" x14ac:dyDescent="0.25">
      <c r="B17" s="496" t="s">
        <v>112</v>
      </c>
      <c r="C17" s="117" t="s">
        <v>54</v>
      </c>
      <c r="D17" s="132">
        <v>1.6</v>
      </c>
      <c r="E17" s="455">
        <v>6919576.7039999999</v>
      </c>
      <c r="F17" s="454">
        <f>'CENSO 2020'!C19</f>
        <v>13719</v>
      </c>
      <c r="G17" s="426">
        <f t="shared" si="0"/>
        <v>1.1104401937422297</v>
      </c>
      <c r="H17" s="120">
        <f>((Datos!K$24*0.7)*0.5)*G17%</f>
        <v>386738.62121544598</v>
      </c>
      <c r="I17" s="454">
        <f>'Predial y Agua'!G18</f>
        <v>692496</v>
      </c>
      <c r="J17" s="426">
        <f t="shared" si="2"/>
        <v>9.6399942762185969E-2</v>
      </c>
      <c r="K17" s="171">
        <f>((Datos!K$24*0.7)*(0.5))*FFM!J17%</f>
        <v>33573.695512097082</v>
      </c>
      <c r="L17" s="455">
        <f t="shared" si="3"/>
        <v>420312.31672754308</v>
      </c>
      <c r="M17" s="454">
        <v>0</v>
      </c>
      <c r="N17" s="426">
        <v>0</v>
      </c>
      <c r="O17" s="470">
        <v>0</v>
      </c>
      <c r="P17" s="133">
        <f t="shared" si="4"/>
        <v>420312.31672754308</v>
      </c>
      <c r="Q17" s="119">
        <f t="shared" si="5"/>
        <v>7339889.0207275432</v>
      </c>
      <c r="R17" s="93">
        <f t="shared" si="1"/>
        <v>1.2068401365044157</v>
      </c>
      <c r="S17" s="93">
        <f t="shared" si="6"/>
        <v>0.60342006825220784</v>
      </c>
      <c r="T17" s="93">
        <v>0.66424499999999997</v>
      </c>
      <c r="U17" s="129">
        <v>9.9999999999999995E-7</v>
      </c>
      <c r="V17" s="93">
        <f t="shared" si="8"/>
        <v>0</v>
      </c>
      <c r="X17" s="93">
        <f t="shared" si="9"/>
        <v>0</v>
      </c>
      <c r="Y17" s="130">
        <v>0.92457</v>
      </c>
      <c r="Z17" s="131">
        <f t="shared" si="10"/>
        <v>-0.32114993174779216</v>
      </c>
      <c r="AA17" s="130"/>
      <c r="AB17" s="130">
        <f t="shared" si="13"/>
        <v>0</v>
      </c>
      <c r="AG17" s="122">
        <f t="shared" si="11"/>
        <v>1.2068401365044157</v>
      </c>
      <c r="AH17" s="122">
        <f t="shared" si="12"/>
        <v>0.60342006825220784</v>
      </c>
    </row>
    <row r="18" spans="2:34" s="5" customFormat="1" ht="25.5" customHeight="1" x14ac:dyDescent="0.25">
      <c r="B18" s="495" t="s">
        <v>113</v>
      </c>
      <c r="C18" s="125" t="s">
        <v>55</v>
      </c>
      <c r="D18" s="126">
        <v>2.84</v>
      </c>
      <c r="E18" s="470">
        <v>12282248.649599999</v>
      </c>
      <c r="F18" s="454">
        <f>'CENSO 2020'!C20</f>
        <v>33567</v>
      </c>
      <c r="G18" s="490">
        <f t="shared" si="0"/>
        <v>2.7169725186489848</v>
      </c>
      <c r="H18" s="120">
        <f>((Datos!K$24*0.7)*0.5)*G18%</f>
        <v>946253.75744142244</v>
      </c>
      <c r="I18" s="454">
        <f>'Predial y Agua'!G19</f>
        <v>2398188</v>
      </c>
      <c r="J18" s="490">
        <f t="shared" si="2"/>
        <v>0.33384335206695959</v>
      </c>
      <c r="K18" s="171">
        <f>((Datos!K$24*0.7)*(0.5))*FFM!J18%</f>
        <v>116269.31230326975</v>
      </c>
      <c r="L18" s="470">
        <f t="shared" si="3"/>
        <v>1062523.0697446922</v>
      </c>
      <c r="M18" s="489">
        <f>'FGP 30%'!I46</f>
        <v>1417918</v>
      </c>
      <c r="N18" s="490">
        <f>M18/M$28*100</f>
        <v>21.65071348418147</v>
      </c>
      <c r="O18" s="470">
        <f>(Datos!K24-FFM!H28-FFM!K$28)*FFM!N18%</f>
        <v>6463202.9674016703</v>
      </c>
      <c r="P18" s="127">
        <f t="shared" si="4"/>
        <v>7525726.0371463625</v>
      </c>
      <c r="Q18" s="128">
        <f t="shared" si="5"/>
        <v>19807974.686746359</v>
      </c>
      <c r="R18" s="93">
        <f t="shared" si="1"/>
        <v>3.0508158707159443</v>
      </c>
      <c r="S18" s="93">
        <f t="shared" si="6"/>
        <v>1.5254079353579721</v>
      </c>
      <c r="T18" s="93">
        <v>1.606241</v>
      </c>
      <c r="U18" s="129">
        <f t="shared" si="7"/>
        <v>-8.0833064642027885E-2</v>
      </c>
      <c r="V18" s="93">
        <f t="shared" si="8"/>
        <v>21.65071348418147</v>
      </c>
      <c r="W18" s="5">
        <v>16.427489000000001</v>
      </c>
      <c r="X18" s="93">
        <f t="shared" si="9"/>
        <v>5.2232244841814683</v>
      </c>
      <c r="Y18" s="130">
        <v>2.2329530000000002</v>
      </c>
      <c r="Z18" s="131">
        <f t="shared" si="10"/>
        <v>-0.70754506464202804</v>
      </c>
      <c r="AA18" s="130">
        <v>14.111107000000001</v>
      </c>
      <c r="AB18" s="130">
        <f t="shared" si="13"/>
        <v>2.3163820000000008</v>
      </c>
      <c r="AG18" s="122">
        <f t="shared" si="11"/>
        <v>3.0508158707159443</v>
      </c>
      <c r="AH18" s="122">
        <f t="shared" si="12"/>
        <v>1.5254079353579721</v>
      </c>
    </row>
    <row r="19" spans="2:34" s="5" customFormat="1" ht="25.5" customHeight="1" x14ac:dyDescent="0.25">
      <c r="B19" s="496" t="s">
        <v>112</v>
      </c>
      <c r="C19" s="117" t="s">
        <v>56</v>
      </c>
      <c r="D19" s="132">
        <v>3.33</v>
      </c>
      <c r="E19" s="455">
        <v>14401369.015200002</v>
      </c>
      <c r="F19" s="454">
        <f>'CENSO 2020'!C21</f>
        <v>24096</v>
      </c>
      <c r="G19" s="426">
        <f t="shared" si="0"/>
        <v>1.9503729796933278</v>
      </c>
      <c r="H19" s="120">
        <f>((Datos!K$24*0.7)*0.5)*G19%</f>
        <v>679266.25969876698</v>
      </c>
      <c r="I19" s="454">
        <f>'Predial y Agua'!G20</f>
        <v>3362045</v>
      </c>
      <c r="J19" s="426">
        <f t="shared" si="2"/>
        <v>0.46801850922444826</v>
      </c>
      <c r="K19" s="171">
        <f>((Datos!K$24*0.7)*(0.5))*FFM!J19%</f>
        <v>162999.17274319049</v>
      </c>
      <c r="L19" s="455">
        <f t="shared" si="3"/>
        <v>842265.43244195753</v>
      </c>
      <c r="M19" s="454">
        <v>0</v>
      </c>
      <c r="N19" s="426">
        <v>0</v>
      </c>
      <c r="O19" s="470">
        <f>(Datos!K31-FFM!H34-FFM!K$28)*FFM!N19%</f>
        <v>0</v>
      </c>
      <c r="P19" s="133">
        <f t="shared" si="4"/>
        <v>842265.43244195753</v>
      </c>
      <c r="Q19" s="119">
        <f t="shared" si="5"/>
        <v>15243634.447641959</v>
      </c>
      <c r="R19" s="93">
        <f t="shared" si="1"/>
        <v>2.4183914889177762</v>
      </c>
      <c r="S19" s="93">
        <f t="shared" si="6"/>
        <v>1.2091957444588881</v>
      </c>
      <c r="T19" s="93">
        <v>1.225519</v>
      </c>
      <c r="U19" s="129">
        <f t="shared" si="7"/>
        <v>-1.6323255541111914E-2</v>
      </c>
      <c r="V19" s="93">
        <f t="shared" si="8"/>
        <v>0</v>
      </c>
      <c r="X19" s="93">
        <f t="shared" si="9"/>
        <v>0</v>
      </c>
      <c r="Y19" s="130">
        <v>1.699298</v>
      </c>
      <c r="Z19" s="131">
        <f t="shared" si="10"/>
        <v>-0.49010225554111186</v>
      </c>
      <c r="AA19" s="130"/>
      <c r="AB19" s="130">
        <f t="shared" si="13"/>
        <v>0</v>
      </c>
      <c r="AG19" s="122">
        <f t="shared" si="11"/>
        <v>2.4183914889177762</v>
      </c>
      <c r="AH19" s="122">
        <f t="shared" si="12"/>
        <v>1.2091957444588881</v>
      </c>
    </row>
    <row r="20" spans="2:34" s="5" customFormat="1" ht="25.5" customHeight="1" x14ac:dyDescent="0.25">
      <c r="B20" s="496" t="s">
        <v>112</v>
      </c>
      <c r="C20" s="117" t="s">
        <v>57</v>
      </c>
      <c r="D20" s="132">
        <v>4.6900000000000004</v>
      </c>
      <c r="E20" s="455">
        <v>20283009.213600002</v>
      </c>
      <c r="F20" s="454">
        <f>'CENSO 2020'!C22</f>
        <v>41518</v>
      </c>
      <c r="G20" s="426">
        <f t="shared" si="0"/>
        <v>3.3605405615416495</v>
      </c>
      <c r="H20" s="120">
        <f>((Datos!K$24*0.7)*0.5)*G20%</f>
        <v>1170392.4539414595</v>
      </c>
      <c r="I20" s="454">
        <f>'Predial y Agua'!G21</f>
        <v>5040672</v>
      </c>
      <c r="J20" s="426">
        <f t="shared" si="2"/>
        <v>0.70169429467167099</v>
      </c>
      <c r="K20" s="171">
        <f>((Datos!K$24*0.7)*(0.5))*FFM!J20%</f>
        <v>244382.62012250387</v>
      </c>
      <c r="L20" s="455">
        <f t="shared" si="3"/>
        <v>1414775.0740639635</v>
      </c>
      <c r="M20" s="454">
        <v>0</v>
      </c>
      <c r="N20" s="426">
        <v>0</v>
      </c>
      <c r="O20" s="470">
        <v>0</v>
      </c>
      <c r="P20" s="133">
        <f t="shared" si="4"/>
        <v>1414775.0740639635</v>
      </c>
      <c r="Q20" s="119">
        <f t="shared" si="5"/>
        <v>21697784.287663966</v>
      </c>
      <c r="R20" s="93">
        <f t="shared" si="1"/>
        <v>4.0622348562133208</v>
      </c>
      <c r="S20" s="93">
        <f t="shared" si="6"/>
        <v>2.0311174281066604</v>
      </c>
      <c r="T20" s="93">
        <v>2.2379220000000002</v>
      </c>
      <c r="U20" s="129">
        <f t="shared" si="7"/>
        <v>-0.20680457189333978</v>
      </c>
      <c r="V20" s="93">
        <f t="shared" si="8"/>
        <v>0</v>
      </c>
      <c r="X20" s="93">
        <f t="shared" si="9"/>
        <v>0</v>
      </c>
      <c r="Y20" s="130">
        <v>3.0983839999999998</v>
      </c>
      <c r="Z20" s="131">
        <f t="shared" si="10"/>
        <v>-1.0672665718933394</v>
      </c>
      <c r="AA20" s="130"/>
      <c r="AB20" s="130">
        <f t="shared" si="13"/>
        <v>0</v>
      </c>
      <c r="AG20" s="122">
        <f t="shared" si="11"/>
        <v>4.0622348562133208</v>
      </c>
      <c r="AH20" s="122">
        <f t="shared" si="12"/>
        <v>2.0311174281066604</v>
      </c>
    </row>
    <row r="21" spans="2:34" s="5" customFormat="1" ht="25.5" customHeight="1" x14ac:dyDescent="0.25">
      <c r="B21" s="496" t="s">
        <v>112</v>
      </c>
      <c r="C21" s="117" t="s">
        <v>58</v>
      </c>
      <c r="D21" s="132">
        <v>2.13</v>
      </c>
      <c r="E21" s="455">
        <v>9211686.4871999994</v>
      </c>
      <c r="F21" s="454">
        <f>'CENSO 2020'!C23</f>
        <v>7683</v>
      </c>
      <c r="G21" s="426">
        <f t="shared" si="0"/>
        <v>0.62187564753418989</v>
      </c>
      <c r="H21" s="120">
        <f>((Datos!K$24*0.7)*0.5)*G21%</f>
        <v>216583.77628094406</v>
      </c>
      <c r="I21" s="454">
        <f>'Predial y Agua'!G22</f>
        <v>1848192</v>
      </c>
      <c r="J21" s="426">
        <f t="shared" si="2"/>
        <v>0.25728033521280991</v>
      </c>
      <c r="K21" s="171">
        <f>((Datos!K$24*0.7)*(0.5))*FFM!J21%</f>
        <v>89604.323282580299</v>
      </c>
      <c r="L21" s="455">
        <f t="shared" si="3"/>
        <v>306188.09956352436</v>
      </c>
      <c r="M21" s="454">
        <v>0</v>
      </c>
      <c r="N21" s="426">
        <f>M21/M$28*100</f>
        <v>0</v>
      </c>
      <c r="O21" s="455">
        <f>(Datos!K24-FFM!H28-FFM!K$28)*FFM!N21%</f>
        <v>0</v>
      </c>
      <c r="P21" s="133">
        <f t="shared" si="4"/>
        <v>306188.09956352436</v>
      </c>
      <c r="Q21" s="119">
        <f t="shared" si="5"/>
        <v>9517874.5867635235</v>
      </c>
      <c r="R21" s="93">
        <f t="shared" si="1"/>
        <v>0.8791559827469998</v>
      </c>
      <c r="S21" s="93">
        <f t="shared" si="6"/>
        <v>0.4395779913734999</v>
      </c>
      <c r="T21" s="93">
        <v>0.43209399999999998</v>
      </c>
      <c r="U21" s="129">
        <f t="shared" si="7"/>
        <v>7.4839913734999208E-3</v>
      </c>
      <c r="V21" s="93">
        <f t="shared" si="8"/>
        <v>0</v>
      </c>
      <c r="W21" s="5">
        <v>11.183956</v>
      </c>
      <c r="X21" s="93">
        <f t="shared" si="9"/>
        <v>-11.183956</v>
      </c>
      <c r="Y21" s="130">
        <v>0.59435300000000002</v>
      </c>
      <c r="Z21" s="131">
        <f t="shared" si="10"/>
        <v>-0.15477500862650012</v>
      </c>
      <c r="AA21" s="130">
        <v>3.7560030000000002</v>
      </c>
      <c r="AB21" s="130">
        <f t="shared" si="13"/>
        <v>7.4279530000000005</v>
      </c>
      <c r="AG21" s="122">
        <f t="shared" si="11"/>
        <v>0.8791559827469998</v>
      </c>
      <c r="AH21" s="122">
        <f t="shared" si="12"/>
        <v>0.4395779913734999</v>
      </c>
    </row>
    <row r="22" spans="2:34" s="5" customFormat="1" ht="25.5" customHeight="1" x14ac:dyDescent="0.25">
      <c r="B22" s="496" t="s">
        <v>114</v>
      </c>
      <c r="C22" s="117" t="s">
        <v>59</v>
      </c>
      <c r="D22" s="132">
        <v>2.81</v>
      </c>
      <c r="E22" s="455">
        <v>12152506.5864</v>
      </c>
      <c r="F22" s="454">
        <f>'CENSO 2020'!C24</f>
        <v>24911</v>
      </c>
      <c r="G22" s="426">
        <f t="shared" si="0"/>
        <v>2.0163405252797348</v>
      </c>
      <c r="H22" s="120">
        <f>((Datos!K$24*0.7)*0.5)*G22%</f>
        <v>702241.11036503932</v>
      </c>
      <c r="I22" s="454">
        <f>'Predial y Agua'!G23</f>
        <v>3282568</v>
      </c>
      <c r="J22" s="426">
        <f t="shared" si="2"/>
        <v>0.45695479441467279</v>
      </c>
      <c r="K22" s="171">
        <f>((Datos!K$24*0.7)*(0.5))*FFM!J22%</f>
        <v>159145.95684271606</v>
      </c>
      <c r="L22" s="455">
        <f t="shared" si="3"/>
        <v>861387.0672077554</v>
      </c>
      <c r="M22" s="454">
        <v>0</v>
      </c>
      <c r="N22" s="426">
        <v>0</v>
      </c>
      <c r="O22" s="455">
        <v>0</v>
      </c>
      <c r="P22" s="133">
        <f t="shared" si="4"/>
        <v>861387.0672077554</v>
      </c>
      <c r="Q22" s="119">
        <f t="shared" si="5"/>
        <v>13013893.653607756</v>
      </c>
      <c r="R22" s="93">
        <f t="shared" si="1"/>
        <v>2.4732953196944076</v>
      </c>
      <c r="S22" s="93">
        <f t="shared" si="6"/>
        <v>1.2366476598472038</v>
      </c>
      <c r="T22" s="93">
        <v>1.3994949999999999</v>
      </c>
      <c r="U22" s="129">
        <f t="shared" si="7"/>
        <v>-0.16284734015279612</v>
      </c>
      <c r="V22" s="93">
        <f t="shared" si="8"/>
        <v>0</v>
      </c>
      <c r="X22" s="93">
        <f t="shared" si="9"/>
        <v>0</v>
      </c>
      <c r="Y22" s="130">
        <v>1.921861</v>
      </c>
      <c r="Z22" s="131">
        <f t="shared" si="10"/>
        <v>-0.68521334015279622</v>
      </c>
      <c r="AA22" s="130"/>
      <c r="AB22" s="130">
        <f t="shared" si="13"/>
        <v>0</v>
      </c>
      <c r="AG22" s="122">
        <f t="shared" si="11"/>
        <v>2.4732953196944076</v>
      </c>
      <c r="AH22" s="122">
        <f t="shared" si="12"/>
        <v>1.2366476598472038</v>
      </c>
    </row>
    <row r="23" spans="2:34" s="5" customFormat="1" ht="25.5" customHeight="1" x14ac:dyDescent="0.25">
      <c r="B23" s="495" t="s">
        <v>113</v>
      </c>
      <c r="C23" s="125" t="s">
        <v>60</v>
      </c>
      <c r="D23" s="126">
        <v>8.34</v>
      </c>
      <c r="E23" s="470">
        <v>36068293.569600001</v>
      </c>
      <c r="F23" s="454">
        <f>'CENSO 2020'!C25</f>
        <v>93981</v>
      </c>
      <c r="G23" s="490">
        <f t="shared" si="0"/>
        <v>7.6069888365105687</v>
      </c>
      <c r="H23" s="120">
        <f>((Datos!K$24*0.7)*0.5)*G23%</f>
        <v>2649324.4668305875</v>
      </c>
      <c r="I23" s="454">
        <f>'Predial y Agua'!G24</f>
        <v>16581584</v>
      </c>
      <c r="J23" s="490">
        <f t="shared" si="2"/>
        <v>2.3082642333044214</v>
      </c>
      <c r="K23" s="171">
        <f>((Datos!K$24*0.7)*(0.5))*FFM!J23%</f>
        <v>803910.85627102654</v>
      </c>
      <c r="L23" s="470">
        <f t="shared" si="3"/>
        <v>3453235.3231016141</v>
      </c>
      <c r="M23" s="489">
        <f>'FGP 30%'!I51</f>
        <v>3730437</v>
      </c>
      <c r="N23" s="490">
        <f>M23/M$28*100</f>
        <v>56.961419953614708</v>
      </c>
      <c r="O23" s="470">
        <f>(Datos!K24-FFM!H28-FFM!K$28)*FFM!N23%</f>
        <v>17004207.21657034</v>
      </c>
      <c r="P23" s="127">
        <f t="shared" si="4"/>
        <v>20457442.539671954</v>
      </c>
      <c r="Q23" s="128">
        <f t="shared" si="5"/>
        <v>56525736.109271958</v>
      </c>
      <c r="R23" s="93">
        <f t="shared" si="1"/>
        <v>9.915253069814991</v>
      </c>
      <c r="S23" s="93">
        <f t="shared" si="6"/>
        <v>4.9576265349074955</v>
      </c>
      <c r="T23" s="93">
        <v>5.5728949999999999</v>
      </c>
      <c r="U23" s="129">
        <f t="shared" si="7"/>
        <v>-0.61526846509250444</v>
      </c>
      <c r="V23" s="93">
        <f t="shared" si="8"/>
        <v>56.961419953614708</v>
      </c>
      <c r="W23" s="5">
        <v>59.916367999999999</v>
      </c>
      <c r="X23" s="93">
        <f t="shared" si="9"/>
        <v>-2.9549480463852902</v>
      </c>
      <c r="Y23" s="130">
        <v>7.6699279999999996</v>
      </c>
      <c r="Z23" s="131">
        <f t="shared" si="10"/>
        <v>-2.7123014650925041</v>
      </c>
      <c r="AA23" s="130">
        <v>48.469971999999999</v>
      </c>
      <c r="AB23" s="130">
        <f t="shared" si="13"/>
        <v>11.446396</v>
      </c>
      <c r="AG23" s="122">
        <f t="shared" si="11"/>
        <v>9.915253069814991</v>
      </c>
      <c r="AH23" s="122">
        <f t="shared" si="12"/>
        <v>4.9576265349074955</v>
      </c>
    </row>
    <row r="24" spans="2:34" s="5" customFormat="1" ht="25.5" customHeight="1" x14ac:dyDescent="0.25">
      <c r="B24" s="496" t="s">
        <v>112</v>
      </c>
      <c r="C24" s="117" t="s">
        <v>61</v>
      </c>
      <c r="D24" s="132">
        <v>3.5</v>
      </c>
      <c r="E24" s="455">
        <v>15136574.040000001</v>
      </c>
      <c r="F24" s="454">
        <f>'CENSO 2020'!C26</f>
        <v>37135</v>
      </c>
      <c r="G24" s="426">
        <f t="shared" si="0"/>
        <v>3.0057727673021133</v>
      </c>
      <c r="H24" s="120">
        <f>((Datos!K$24*0.7)*0.5)*G24%</f>
        <v>1046835.6803583048</v>
      </c>
      <c r="I24" s="454">
        <f>'Predial y Agua'!G25</f>
        <v>5174485</v>
      </c>
      <c r="J24" s="426">
        <f t="shared" si="2"/>
        <v>0.72032193373505382</v>
      </c>
      <c r="K24" s="171">
        <f>((Datos!K$24*0.7)*(0.5))*FFM!J24%</f>
        <v>250870.16216976513</v>
      </c>
      <c r="L24" s="455">
        <f t="shared" si="3"/>
        <v>1297705.8425280699</v>
      </c>
      <c r="M24" s="454">
        <v>0</v>
      </c>
      <c r="N24" s="426">
        <v>0</v>
      </c>
      <c r="O24" s="455">
        <v>0</v>
      </c>
      <c r="P24" s="133">
        <f t="shared" si="4"/>
        <v>1297705.8425280699</v>
      </c>
      <c r="Q24" s="119">
        <f t="shared" si="5"/>
        <v>16434279.88252807</v>
      </c>
      <c r="R24" s="93">
        <f t="shared" si="1"/>
        <v>3.7260947010371672</v>
      </c>
      <c r="S24" s="93">
        <f t="shared" si="6"/>
        <v>1.8630473505185836</v>
      </c>
      <c r="T24" s="93">
        <v>2.767077</v>
      </c>
      <c r="U24" s="129">
        <f t="shared" si="7"/>
        <v>-0.9040296494814164</v>
      </c>
      <c r="V24" s="93">
        <f t="shared" si="8"/>
        <v>0</v>
      </c>
      <c r="X24" s="93">
        <f t="shared" si="9"/>
        <v>0</v>
      </c>
      <c r="Y24" s="130">
        <v>3.7737189999999998</v>
      </c>
      <c r="Z24" s="131">
        <f t="shared" si="10"/>
        <v>-1.9106716494814162</v>
      </c>
      <c r="AA24" s="130"/>
      <c r="AB24" s="130">
        <f t="shared" si="13"/>
        <v>0</v>
      </c>
      <c r="AG24" s="122">
        <f t="shared" si="11"/>
        <v>3.7260947010371672</v>
      </c>
      <c r="AH24" s="122">
        <f t="shared" si="12"/>
        <v>1.8630473505185836</v>
      </c>
    </row>
    <row r="25" spans="2:34" s="5" customFormat="1" ht="25.5" customHeight="1" x14ac:dyDescent="0.25">
      <c r="B25" s="496" t="s">
        <v>112</v>
      </c>
      <c r="C25" s="117" t="s">
        <v>62</v>
      </c>
      <c r="D25" s="132">
        <v>39</v>
      </c>
      <c r="E25" s="455">
        <v>168664682.16</v>
      </c>
      <c r="F25" s="454">
        <f>'CENSO 2020'!C27</f>
        <v>425924</v>
      </c>
      <c r="G25" s="426">
        <f t="shared" si="0"/>
        <v>34.475044032324909</v>
      </c>
      <c r="H25" s="120">
        <f>((Datos!K$24*0.7)*0.5)*G25%</f>
        <v>12006797.908197945</v>
      </c>
      <c r="I25" s="454">
        <f>'Predial y Agua'!G26</f>
        <v>266520773</v>
      </c>
      <c r="J25" s="426">
        <f t="shared" si="2"/>
        <v>37.10142334704252</v>
      </c>
      <c r="K25" s="171">
        <f>((Datos!K$24*0.7)*(0.5))*FFM!J25%</f>
        <v>12921500.312421652</v>
      </c>
      <c r="L25" s="455">
        <f t="shared" si="3"/>
        <v>24928298.220619597</v>
      </c>
      <c r="M25" s="454">
        <v>0</v>
      </c>
      <c r="N25" s="426">
        <v>0</v>
      </c>
      <c r="O25" s="455">
        <v>0</v>
      </c>
      <c r="P25" s="133">
        <f t="shared" si="4"/>
        <v>24928298.220619597</v>
      </c>
      <c r="Q25" s="119">
        <f t="shared" si="5"/>
        <v>193592980.38061959</v>
      </c>
      <c r="R25" s="93">
        <f t="shared" si="1"/>
        <v>71.576467379367429</v>
      </c>
      <c r="S25" s="93">
        <f t="shared" si="6"/>
        <v>35.788233689683715</v>
      </c>
      <c r="T25" s="93">
        <v>35.053296000000003</v>
      </c>
      <c r="U25" s="129">
        <f t="shared" si="7"/>
        <v>0.73493768968371143</v>
      </c>
      <c r="V25" s="93">
        <f t="shared" si="8"/>
        <v>0</v>
      </c>
      <c r="X25" s="93">
        <f t="shared" si="9"/>
        <v>0</v>
      </c>
      <c r="Y25" s="130">
        <v>47.455587999999999</v>
      </c>
      <c r="Z25" s="131">
        <f t="shared" si="10"/>
        <v>-11.667354310316284</v>
      </c>
      <c r="AA25" s="130"/>
      <c r="AB25" s="130">
        <f t="shared" si="13"/>
        <v>0</v>
      </c>
      <c r="AG25" s="122">
        <f t="shared" si="11"/>
        <v>71.576467379367429</v>
      </c>
      <c r="AH25" s="122">
        <f t="shared" si="12"/>
        <v>35.788233689683715</v>
      </c>
    </row>
    <row r="26" spans="2:34" s="5" customFormat="1" ht="25.5" customHeight="1" x14ac:dyDescent="0.25">
      <c r="B26" s="495" t="s">
        <v>115</v>
      </c>
      <c r="C26" s="125" t="s">
        <v>63</v>
      </c>
      <c r="D26" s="126">
        <v>3.79</v>
      </c>
      <c r="E26" s="470">
        <v>16390747.317600001</v>
      </c>
      <c r="F26" s="454">
        <f>'CENSO 2020'!C28</f>
        <v>30064</v>
      </c>
      <c r="G26" s="490">
        <f t="shared" si="0"/>
        <v>2.4334334852880231</v>
      </c>
      <c r="H26" s="120">
        <f>((Datos!K$24*0.7)*0.5)*G26%</f>
        <v>847504.1845776781</v>
      </c>
      <c r="I26" s="454">
        <f>'Predial y Agua'!G27</f>
        <v>3902448</v>
      </c>
      <c r="J26" s="490">
        <f t="shared" si="2"/>
        <v>0.54324611814711865</v>
      </c>
      <c r="K26" s="171">
        <f>((Datos!K$24*0.7)*(0.5))*FFM!J26%</f>
        <v>189199.07249109342</v>
      </c>
      <c r="L26" s="470">
        <f t="shared" si="3"/>
        <v>1036703.2570687715</v>
      </c>
      <c r="M26" s="489">
        <f>'FGP 30%'!I54</f>
        <v>1362858</v>
      </c>
      <c r="N26" s="490">
        <f>M26/M$28*100</f>
        <v>20.809982014209979</v>
      </c>
      <c r="O26" s="470">
        <f>(Datos!K24-FFM!H28-FFM!K$28)*FFM!N26%</f>
        <v>6212226.5672254004</v>
      </c>
      <c r="P26" s="127">
        <f t="shared" si="4"/>
        <v>7248929.8242941722</v>
      </c>
      <c r="Q26" s="128">
        <f t="shared" si="5"/>
        <v>23639677.141894173</v>
      </c>
      <c r="R26" s="93">
        <f t="shared" si="1"/>
        <v>2.9766796034351417</v>
      </c>
      <c r="S26" s="93">
        <f t="shared" si="6"/>
        <v>1.4883398017175709</v>
      </c>
      <c r="T26" s="93">
        <v>1.450617</v>
      </c>
      <c r="U26" s="129">
        <f t="shared" si="7"/>
        <v>3.7722801717570809E-2</v>
      </c>
      <c r="V26" s="93">
        <f t="shared" si="8"/>
        <v>20.809982014209979</v>
      </c>
      <c r="W26" s="5">
        <v>11.919331</v>
      </c>
      <c r="X26" s="93">
        <f t="shared" si="9"/>
        <v>8.8906510142099791</v>
      </c>
      <c r="Y26" s="130">
        <v>2.0164080000000002</v>
      </c>
      <c r="Z26" s="131">
        <f t="shared" si="10"/>
        <v>-0.52806819828242935</v>
      </c>
      <c r="AA26" s="130">
        <v>12.742653000000001</v>
      </c>
      <c r="AB26" s="130">
        <f t="shared" si="13"/>
        <v>-0.823322000000001</v>
      </c>
      <c r="AG26" s="122">
        <f t="shared" si="11"/>
        <v>2.9766796034351417</v>
      </c>
      <c r="AH26" s="122">
        <f t="shared" si="12"/>
        <v>1.4883398017175709</v>
      </c>
    </row>
    <row r="27" spans="2:34" s="5" customFormat="1" ht="25.5" customHeight="1" thickBot="1" x14ac:dyDescent="0.3">
      <c r="B27" s="497" t="s">
        <v>112</v>
      </c>
      <c r="C27" s="134" t="s">
        <v>64</v>
      </c>
      <c r="D27" s="132">
        <v>3.1</v>
      </c>
      <c r="E27" s="455">
        <v>13406679.864</v>
      </c>
      <c r="F27" s="454">
        <f>'CENSO 2020'!C29</f>
        <v>65229</v>
      </c>
      <c r="G27" s="426">
        <f t="shared" si="0"/>
        <v>5.2797509583506006</v>
      </c>
      <c r="H27" s="120">
        <f>((Datos!K$24*0.7)*0.5)*G27%</f>
        <v>1838805.5633254845</v>
      </c>
      <c r="I27" s="454">
        <f>'Predial y Agua'!G28</f>
        <v>40126137</v>
      </c>
      <c r="J27" s="426">
        <f t="shared" si="2"/>
        <v>5.5858189939979912</v>
      </c>
      <c r="K27" s="171">
        <f>((Datos!K$24*0.7)*(0.5))*FFM!J27%</f>
        <v>1945401.4257334233</v>
      </c>
      <c r="L27" s="455">
        <f t="shared" si="3"/>
        <v>3784206.9890589081</v>
      </c>
      <c r="M27" s="454">
        <v>0</v>
      </c>
      <c r="N27" s="426">
        <v>0</v>
      </c>
      <c r="O27" s="455">
        <v>0</v>
      </c>
      <c r="P27" s="133">
        <f t="shared" si="4"/>
        <v>3784206.9890589081</v>
      </c>
      <c r="Q27" s="119">
        <f t="shared" si="5"/>
        <v>17190886.853058908</v>
      </c>
      <c r="R27" s="93">
        <f t="shared" si="1"/>
        <v>10.865569952348592</v>
      </c>
      <c r="S27" s="93">
        <f t="shared" si="6"/>
        <v>5.4327849761742959</v>
      </c>
      <c r="T27" s="93">
        <v>5.1532229999999997</v>
      </c>
      <c r="U27" s="129">
        <f t="shared" si="7"/>
        <v>0.27956197617429623</v>
      </c>
      <c r="V27" s="93">
        <f t="shared" si="8"/>
        <v>0</v>
      </c>
      <c r="X27" s="93">
        <f t="shared" si="9"/>
        <v>0</v>
      </c>
      <c r="Y27" s="130">
        <v>6.9632639999999997</v>
      </c>
      <c r="Z27" s="131">
        <f t="shared" si="10"/>
        <v>-1.5304790238257038</v>
      </c>
      <c r="AA27" s="130"/>
      <c r="AB27" s="130"/>
      <c r="AG27" s="122">
        <f t="shared" si="11"/>
        <v>10.865569952348592</v>
      </c>
      <c r="AH27" s="122">
        <f t="shared" si="12"/>
        <v>5.4327849761742959</v>
      </c>
    </row>
    <row r="28" spans="2:34" ht="15.75" thickBot="1" x14ac:dyDescent="0.3">
      <c r="B28" s="1068" t="s">
        <v>65</v>
      </c>
      <c r="C28" s="1069"/>
      <c r="D28" s="493">
        <f>SUM(D8:D27)</f>
        <v>100</v>
      </c>
      <c r="E28" s="363">
        <f>SUM(E8:E27)</f>
        <v>432473544.00000006</v>
      </c>
      <c r="F28" s="491">
        <f>SUM(F8:F27)</f>
        <v>1235456</v>
      </c>
      <c r="G28" s="361">
        <f t="shared" si="0"/>
        <v>100</v>
      </c>
      <c r="H28" s="135">
        <f>SUM(H8:H27)</f>
        <v>34827505.649999991</v>
      </c>
      <c r="I28" s="135">
        <f>SUM(I8:I27)</f>
        <v>718357273</v>
      </c>
      <c r="J28" s="361">
        <f>I28/I$28*100</f>
        <v>100</v>
      </c>
      <c r="K28" s="135">
        <f>SUM(K8:K27)</f>
        <v>34827505.649999999</v>
      </c>
      <c r="L28" s="363">
        <f>SUM(L8:L27)</f>
        <v>69655011.299999982</v>
      </c>
      <c r="M28" s="491">
        <f>SUM(M8:M27)</f>
        <v>6549059</v>
      </c>
      <c r="N28" s="361">
        <f>SUM(N8:N27)</f>
        <v>100</v>
      </c>
      <c r="O28" s="135">
        <f>(Datos!K24-FFM!H28-FFM!K$28)*FFM!N28%</f>
        <v>29852147.70000001</v>
      </c>
      <c r="P28" s="362">
        <f>SUM(P8:P27)</f>
        <v>99507159</v>
      </c>
      <c r="Q28" s="363">
        <f>SUM(Q8:Q27)</f>
        <v>531980703.00000006</v>
      </c>
      <c r="R28" s="122">
        <f>SUM(R8:R27)</f>
        <v>200</v>
      </c>
      <c r="S28" s="122">
        <f t="shared" si="6"/>
        <v>100</v>
      </c>
      <c r="T28" s="122">
        <f>SUM(T8:T27)</f>
        <v>100.000001</v>
      </c>
      <c r="U28" s="122">
        <f>SUM(U8:U27)</f>
        <v>6.0824931747789357E-2</v>
      </c>
      <c r="V28" s="122">
        <f>SUM(V8:V27)</f>
        <v>100</v>
      </c>
      <c r="W28" s="122">
        <f t="shared" ref="W28:X28" si="14">SUM(W8:W27)</f>
        <v>99.999999000000003</v>
      </c>
      <c r="X28" s="122">
        <f t="shared" si="14"/>
        <v>9.9999999747524271E-7</v>
      </c>
      <c r="Y28" s="124">
        <f>SUM(Y8:Y27)</f>
        <v>140.00000000000003</v>
      </c>
      <c r="Z28" s="124">
        <f t="shared" ref="Z28:AB28" si="15">SUM(Z8:Z27)</f>
        <v>-40</v>
      </c>
      <c r="AA28" s="124">
        <f t="shared" si="15"/>
        <v>99.999999000000003</v>
      </c>
      <c r="AB28" s="124">
        <f t="shared" si="15"/>
        <v>1.7763568394002505E-15</v>
      </c>
      <c r="AG28" s="122">
        <f t="shared" si="11"/>
        <v>200</v>
      </c>
      <c r="AH28">
        <f t="shared" si="12"/>
        <v>100</v>
      </c>
    </row>
    <row r="29" spans="2:34" x14ac:dyDescent="0.25">
      <c r="B29" s="1070" t="s">
        <v>295</v>
      </c>
      <c r="C29" s="1070"/>
      <c r="D29" s="1070"/>
      <c r="E29" s="1070"/>
      <c r="F29" s="1070"/>
      <c r="G29" s="1070"/>
      <c r="H29" s="1070"/>
      <c r="I29" s="1070"/>
      <c r="J29" s="1070"/>
      <c r="K29" s="1070"/>
      <c r="L29" s="1070"/>
      <c r="M29" s="1070"/>
      <c r="N29" s="1070"/>
      <c r="O29" s="1070"/>
      <c r="P29" s="1070"/>
      <c r="Q29" s="1070"/>
      <c r="R29" s="8"/>
      <c r="S29" s="8"/>
      <c r="T29" s="8"/>
      <c r="U29" s="8"/>
    </row>
    <row r="30" spans="2:34" x14ac:dyDescent="0.25">
      <c r="C30" s="709" t="s">
        <v>294</v>
      </c>
      <c r="D30" s="75"/>
      <c r="E30" s="8"/>
      <c r="F30" s="8"/>
      <c r="G30" s="8"/>
      <c r="H30" s="710"/>
      <c r="I30" s="8"/>
      <c r="J30" s="8"/>
      <c r="K30" s="101"/>
      <c r="L30" s="101"/>
      <c r="M30" s="711"/>
      <c r="N30" s="711"/>
      <c r="O30" s="712"/>
      <c r="P30" s="8"/>
      <c r="Q30" s="8"/>
      <c r="R30" s="8"/>
      <c r="S30" s="8"/>
      <c r="T30" s="8"/>
      <c r="U30" s="8"/>
    </row>
    <row r="31" spans="2:34" ht="27" customHeight="1" x14ac:dyDescent="0.25">
      <c r="C31" s="1071" t="s">
        <v>378</v>
      </c>
      <c r="D31" s="1071"/>
      <c r="E31" s="1071"/>
      <c r="F31" s="1071"/>
      <c r="G31" s="1071"/>
      <c r="H31" s="1071"/>
      <c r="I31" s="1071"/>
      <c r="J31" s="1071"/>
      <c r="K31" s="1071"/>
      <c r="L31" s="1071"/>
      <c r="M31" s="1071"/>
      <c r="N31" s="1071"/>
      <c r="O31" s="1071"/>
      <c r="P31" s="1071"/>
      <c r="Q31" s="1071"/>
      <c r="R31" s="708"/>
      <c r="S31" s="708"/>
      <c r="T31" s="708"/>
      <c r="U31" s="708"/>
    </row>
    <row r="32" spans="2:34" x14ac:dyDescent="0.25">
      <c r="C32" s="1051" t="s">
        <v>380</v>
      </c>
      <c r="D32" s="1051"/>
      <c r="E32" s="1051"/>
      <c r="F32" s="1051"/>
      <c r="G32" s="1051"/>
      <c r="H32" s="1051"/>
      <c r="I32" s="1051"/>
      <c r="J32" s="1051"/>
      <c r="K32" s="1051"/>
      <c r="L32" s="1051"/>
      <c r="M32" s="1051"/>
      <c r="N32" s="1051"/>
      <c r="O32" s="1051"/>
      <c r="P32" s="1051"/>
      <c r="Q32" s="1051"/>
      <c r="R32" s="1051"/>
      <c r="S32" s="1051"/>
      <c r="T32" s="1051"/>
      <c r="U32" s="1051"/>
    </row>
    <row r="33" spans="3:21" ht="15" hidden="1" customHeight="1" x14ac:dyDescent="0.25">
      <c r="C33" s="1051" t="s">
        <v>296</v>
      </c>
      <c r="D33" s="1051"/>
      <c r="E33" s="1051"/>
      <c r="F33" s="1051"/>
      <c r="G33" s="1051"/>
      <c r="H33" s="1051"/>
      <c r="I33" s="1051"/>
      <c r="J33" s="1051"/>
      <c r="K33" s="1051"/>
      <c r="L33" s="1051"/>
      <c r="M33" s="1051"/>
      <c r="N33" s="1051"/>
      <c r="O33" s="1051"/>
      <c r="P33" s="1051"/>
      <c r="Q33" s="1051"/>
      <c r="R33" s="1051"/>
      <c r="S33" s="1051"/>
      <c r="T33" s="1051"/>
      <c r="U33" s="1051"/>
    </row>
    <row r="34" spans="3:21" hidden="1" x14ac:dyDescent="0.25">
      <c r="C34" s="708"/>
      <c r="D34" s="708"/>
      <c r="E34" s="708"/>
      <c r="F34" s="708"/>
      <c r="G34" s="708"/>
      <c r="H34" s="708"/>
      <c r="I34" s="708"/>
      <c r="J34" s="708"/>
      <c r="K34" s="713"/>
      <c r="L34" s="713"/>
      <c r="M34" s="708"/>
      <c r="N34" s="708"/>
      <c r="O34" s="713"/>
      <c r="P34" s="708"/>
      <c r="Q34" s="708"/>
      <c r="R34" s="708"/>
      <c r="S34" s="708"/>
      <c r="T34" s="708"/>
      <c r="U34" s="708"/>
    </row>
    <row r="35" spans="3:21" hidden="1" x14ac:dyDescent="0.25">
      <c r="C35" s="1053" t="s">
        <v>83</v>
      </c>
      <c r="D35" s="714" t="s">
        <v>84</v>
      </c>
      <c r="E35" s="714" t="s">
        <v>20</v>
      </c>
      <c r="F35" s="714" t="s">
        <v>117</v>
      </c>
      <c r="G35" s="715" t="s">
        <v>118</v>
      </c>
      <c r="H35" s="715" t="s">
        <v>82</v>
      </c>
      <c r="I35" s="714" t="s">
        <v>119</v>
      </c>
      <c r="J35" s="714" t="s">
        <v>120</v>
      </c>
      <c r="K35" s="713"/>
      <c r="L35" s="713"/>
      <c r="M35" s="708"/>
      <c r="N35" s="708"/>
      <c r="O35" s="713"/>
      <c r="P35" s="708"/>
      <c r="Q35" s="708"/>
      <c r="R35" s="708"/>
      <c r="S35" s="708"/>
      <c r="T35" s="708"/>
      <c r="U35" s="708"/>
    </row>
    <row r="36" spans="3:21" hidden="1" x14ac:dyDescent="0.25">
      <c r="C36" s="1054"/>
      <c r="D36" s="716" t="s">
        <v>89</v>
      </c>
      <c r="E36" s="716" t="s">
        <v>30</v>
      </c>
      <c r="F36" s="716" t="s">
        <v>121</v>
      </c>
      <c r="G36" s="717" t="s">
        <v>122</v>
      </c>
      <c r="H36" s="717" t="s">
        <v>123</v>
      </c>
      <c r="I36" s="716" t="s">
        <v>124</v>
      </c>
      <c r="J36" s="716" t="s">
        <v>125</v>
      </c>
      <c r="K36" s="713"/>
      <c r="L36" s="713"/>
      <c r="M36" s="708"/>
      <c r="N36" s="708"/>
      <c r="O36" s="713"/>
      <c r="P36" s="708"/>
      <c r="Q36" s="708"/>
      <c r="R36" s="708"/>
      <c r="S36" s="708"/>
      <c r="T36" s="708"/>
      <c r="U36" s="708"/>
    </row>
    <row r="37" spans="3:21" hidden="1" x14ac:dyDescent="0.25">
      <c r="C37" s="1054"/>
      <c r="D37" s="718">
        <v>2014</v>
      </c>
      <c r="E37" s="718" t="s">
        <v>126</v>
      </c>
      <c r="F37" s="718" t="s">
        <v>127</v>
      </c>
      <c r="G37" s="717" t="s">
        <v>128</v>
      </c>
      <c r="H37" s="717" t="s">
        <v>129</v>
      </c>
      <c r="I37" s="716">
        <v>2014</v>
      </c>
      <c r="J37" s="716" t="s">
        <v>130</v>
      </c>
      <c r="K37" s="713"/>
      <c r="L37" s="713"/>
      <c r="M37" s="708"/>
      <c r="N37" s="708"/>
      <c r="O37" s="713"/>
      <c r="P37" s="708"/>
      <c r="Q37" s="708"/>
      <c r="R37" s="708"/>
      <c r="S37" s="708"/>
      <c r="T37" s="708"/>
      <c r="U37" s="708"/>
    </row>
    <row r="38" spans="3:21" hidden="1" x14ac:dyDescent="0.25">
      <c r="C38" s="1055"/>
      <c r="D38" s="719" t="s">
        <v>70</v>
      </c>
      <c r="E38" s="719" t="s">
        <v>97</v>
      </c>
      <c r="F38" s="719" t="s">
        <v>71</v>
      </c>
      <c r="G38" s="719" t="s">
        <v>98</v>
      </c>
      <c r="H38" s="719" t="s">
        <v>73</v>
      </c>
      <c r="I38" s="719" t="s">
        <v>131</v>
      </c>
      <c r="J38" s="719" t="s">
        <v>74</v>
      </c>
      <c r="K38" s="713"/>
      <c r="L38" s="713"/>
      <c r="M38" s="708"/>
      <c r="N38" s="708"/>
      <c r="O38" s="713"/>
      <c r="P38" s="708"/>
      <c r="Q38" s="708"/>
      <c r="R38" s="708"/>
      <c r="S38" s="708"/>
      <c r="T38" s="708"/>
      <c r="U38" s="708"/>
    </row>
    <row r="39" spans="3:21" hidden="1" x14ac:dyDescent="0.25">
      <c r="C39" s="720" t="s">
        <v>45</v>
      </c>
      <c r="D39" s="721">
        <v>3.62</v>
      </c>
      <c r="E39" s="722">
        <f>[1]Datos!K$23*FFM!D39%</f>
        <v>15655542.292800002</v>
      </c>
      <c r="F39" s="723">
        <f>E39*0.7</f>
        <v>10958879.60496</v>
      </c>
      <c r="G39" s="723">
        <f t="shared" ref="G39:G59" si="16">H8+K8</f>
        <v>1555802.8878361292</v>
      </c>
      <c r="H39" s="723">
        <f t="shared" ref="H39:H59" si="17">E39+G39</f>
        <v>17211345.18063613</v>
      </c>
      <c r="I39" s="723">
        <f>F39+G39</f>
        <v>12514682.492796129</v>
      </c>
      <c r="J39" s="724">
        <f>H39-I39</f>
        <v>4696662.6878400017</v>
      </c>
      <c r="K39" s="713"/>
      <c r="L39" s="713"/>
      <c r="M39" s="708"/>
      <c r="N39" s="708"/>
      <c r="O39" s="713"/>
      <c r="P39" s="708"/>
      <c r="Q39" s="708"/>
      <c r="R39" s="708"/>
      <c r="S39" s="708"/>
      <c r="T39" s="708"/>
      <c r="U39" s="708"/>
    </row>
    <row r="40" spans="3:21" hidden="1" x14ac:dyDescent="0.25">
      <c r="C40" s="725" t="s">
        <v>46</v>
      </c>
      <c r="D40" s="726">
        <v>2.4700000000000002</v>
      </c>
      <c r="E40" s="727">
        <f>[1]Datos!K$23*FFM!D40%</f>
        <v>10682096.536800001</v>
      </c>
      <c r="F40" s="723">
        <f t="shared" ref="F40:F59" si="18">E40*0.7</f>
        <v>7477467.5757600004</v>
      </c>
      <c r="G40" s="723">
        <f t="shared" si="16"/>
        <v>668224.20337180304</v>
      </c>
      <c r="H40" s="723">
        <f t="shared" si="17"/>
        <v>11350320.740171803</v>
      </c>
      <c r="I40" s="723">
        <f t="shared" ref="I40:I58" si="19">F40+G40</f>
        <v>8145691.7791318037</v>
      </c>
      <c r="J40" s="724">
        <f t="shared" ref="J40:J58" si="20">H40-I40</f>
        <v>3204628.9610399995</v>
      </c>
      <c r="K40" s="713"/>
      <c r="L40" s="713"/>
      <c r="M40" s="708"/>
      <c r="N40" s="708"/>
      <c r="O40" s="713"/>
      <c r="P40" s="708"/>
      <c r="Q40" s="708"/>
      <c r="R40" s="708"/>
      <c r="S40" s="708"/>
      <c r="T40" s="708"/>
      <c r="U40" s="708"/>
    </row>
    <row r="41" spans="3:21" hidden="1" x14ac:dyDescent="0.25">
      <c r="C41" s="725" t="s">
        <v>47</v>
      </c>
      <c r="D41" s="726">
        <v>2.33</v>
      </c>
      <c r="E41" s="727">
        <f>[1]Datos!K$23*FFM!D41%</f>
        <v>10076633.575200001</v>
      </c>
      <c r="F41" s="723">
        <f t="shared" si="18"/>
        <v>7053643.5026400005</v>
      </c>
      <c r="G41" s="723">
        <f t="shared" si="16"/>
        <v>488669.63841198751</v>
      </c>
      <c r="H41" s="723">
        <f t="shared" si="17"/>
        <v>10565303.213611988</v>
      </c>
      <c r="I41" s="723">
        <f t="shared" si="19"/>
        <v>7542313.1410519881</v>
      </c>
      <c r="J41" s="724">
        <f t="shared" si="20"/>
        <v>3022990.0725600002</v>
      </c>
      <c r="K41" s="713"/>
      <c r="L41" s="713"/>
      <c r="M41" s="708"/>
      <c r="N41" s="708"/>
      <c r="O41" s="713"/>
      <c r="P41" s="708"/>
      <c r="Q41" s="708"/>
      <c r="R41" s="708"/>
      <c r="S41" s="708"/>
      <c r="T41" s="708"/>
      <c r="U41" s="708"/>
    </row>
    <row r="42" spans="3:21" hidden="1" x14ac:dyDescent="0.25">
      <c r="C42" s="725" t="s">
        <v>48</v>
      </c>
      <c r="D42" s="726">
        <v>2.81</v>
      </c>
      <c r="E42" s="727">
        <f>[1]Datos!K$23*FFM!D42%</f>
        <v>12152506.5864</v>
      </c>
      <c r="F42" s="723">
        <f t="shared" si="18"/>
        <v>8506754.6104799993</v>
      </c>
      <c r="G42" s="723">
        <f t="shared" si="16"/>
        <v>19864740.361454889</v>
      </c>
      <c r="H42" s="723">
        <f t="shared" si="17"/>
        <v>32017246.947854891</v>
      </c>
      <c r="I42" s="723">
        <f t="shared" si="19"/>
        <v>28371494.971934889</v>
      </c>
      <c r="J42" s="724">
        <f t="shared" si="20"/>
        <v>3645751.9759200029</v>
      </c>
      <c r="K42" s="713"/>
      <c r="L42" s="713"/>
      <c r="M42" s="723"/>
      <c r="N42" s="708"/>
      <c r="O42" s="713"/>
      <c r="P42" s="708"/>
      <c r="Q42" s="708"/>
      <c r="R42" s="708"/>
      <c r="S42" s="708"/>
      <c r="T42" s="708"/>
      <c r="U42" s="708"/>
    </row>
    <row r="43" spans="3:21" hidden="1" x14ac:dyDescent="0.25">
      <c r="C43" s="725" t="s">
        <v>49</v>
      </c>
      <c r="D43" s="726">
        <v>4.6399999999999997</v>
      </c>
      <c r="E43" s="727">
        <f>[1]Datos!K$23*FFM!D43%</f>
        <v>20066772.441599999</v>
      </c>
      <c r="F43" s="723">
        <f t="shared" si="18"/>
        <v>14046740.709119998</v>
      </c>
      <c r="G43" s="723">
        <f t="shared" si="16"/>
        <v>3796297.5067589022</v>
      </c>
      <c r="H43" s="723">
        <f t="shared" si="17"/>
        <v>23863069.948358901</v>
      </c>
      <c r="I43" s="723">
        <f t="shared" si="19"/>
        <v>17843038.2158789</v>
      </c>
      <c r="J43" s="724">
        <f t="shared" si="20"/>
        <v>6020031.7324800007</v>
      </c>
      <c r="K43" s="713"/>
      <c r="L43" s="713"/>
      <c r="M43" s="723"/>
      <c r="N43" s="708"/>
      <c r="O43" s="713"/>
      <c r="P43" s="708"/>
      <c r="Q43" s="708"/>
      <c r="R43" s="708"/>
      <c r="S43" s="708"/>
      <c r="T43" s="708"/>
      <c r="U43" s="708"/>
    </row>
    <row r="44" spans="3:21" hidden="1" x14ac:dyDescent="0.25">
      <c r="C44" s="725" t="s">
        <v>50</v>
      </c>
      <c r="D44" s="726">
        <v>1.5</v>
      </c>
      <c r="E44" s="727">
        <f>[1]Datos!K$23*FFM!D44%</f>
        <v>6487103.1600000001</v>
      </c>
      <c r="F44" s="723">
        <f t="shared" si="18"/>
        <v>4540972.2119999994</v>
      </c>
      <c r="G44" s="723">
        <f t="shared" si="16"/>
        <v>1346248.2275057489</v>
      </c>
      <c r="H44" s="723">
        <f t="shared" si="17"/>
        <v>7833351.3875057492</v>
      </c>
      <c r="I44" s="723">
        <f t="shared" si="19"/>
        <v>5887220.4395057485</v>
      </c>
      <c r="J44" s="724">
        <f t="shared" si="20"/>
        <v>1946130.9480000008</v>
      </c>
      <c r="K44" s="713"/>
      <c r="L44" s="713"/>
      <c r="M44" s="723"/>
      <c r="N44" s="708"/>
      <c r="O44" s="713"/>
      <c r="P44" s="708"/>
      <c r="Q44" s="708"/>
      <c r="R44" s="708"/>
      <c r="S44" s="708"/>
      <c r="T44" s="708"/>
      <c r="U44" s="708"/>
    </row>
    <row r="45" spans="3:21" hidden="1" x14ac:dyDescent="0.25">
      <c r="C45" s="725" t="s">
        <v>51</v>
      </c>
      <c r="D45" s="726">
        <v>1.53</v>
      </c>
      <c r="E45" s="727">
        <f>[1]Datos!K$23*FFM!D45%</f>
        <v>6616845.2232000008</v>
      </c>
      <c r="F45" s="723">
        <f t="shared" si="18"/>
        <v>4631791.6562400004</v>
      </c>
      <c r="G45" s="723">
        <f t="shared" si="16"/>
        <v>350809.5311693392</v>
      </c>
      <c r="H45" s="723">
        <f t="shared" si="17"/>
        <v>6967654.7543693399</v>
      </c>
      <c r="I45" s="723">
        <f t="shared" si="19"/>
        <v>4982601.1874093395</v>
      </c>
      <c r="J45" s="724">
        <f t="shared" si="20"/>
        <v>1985053.5669600004</v>
      </c>
      <c r="K45" s="713"/>
      <c r="L45" s="713"/>
      <c r="M45" s="708"/>
      <c r="N45" s="708"/>
      <c r="O45" s="713"/>
      <c r="P45" s="708"/>
      <c r="Q45" s="708"/>
      <c r="R45" s="708"/>
      <c r="S45" s="708"/>
      <c r="T45" s="708"/>
      <c r="U45" s="708"/>
    </row>
    <row r="46" spans="3:21" hidden="1" x14ac:dyDescent="0.25">
      <c r="C46" s="725" t="s">
        <v>52</v>
      </c>
      <c r="D46" s="726">
        <v>3.16</v>
      </c>
      <c r="E46" s="727">
        <f>[1]Datos!K$23*FFM!D46%</f>
        <v>13666163.990400001</v>
      </c>
      <c r="F46" s="723">
        <f t="shared" si="18"/>
        <v>9566314.7932799999</v>
      </c>
      <c r="G46" s="723">
        <f t="shared" si="16"/>
        <v>1448661.9052975003</v>
      </c>
      <c r="H46" s="723">
        <f t="shared" si="17"/>
        <v>15114825.895697502</v>
      </c>
      <c r="I46" s="723">
        <f t="shared" si="19"/>
        <v>11014976.698577501</v>
      </c>
      <c r="J46" s="724">
        <f t="shared" si="20"/>
        <v>4099849.1971200015</v>
      </c>
      <c r="K46" s="713"/>
      <c r="L46" s="713"/>
      <c r="M46" s="708"/>
      <c r="N46" s="708"/>
      <c r="O46" s="713"/>
      <c r="P46" s="708"/>
      <c r="Q46" s="708"/>
      <c r="R46" s="708"/>
      <c r="S46" s="708"/>
      <c r="T46" s="708"/>
      <c r="U46" s="708"/>
    </row>
    <row r="47" spans="3:21" hidden="1" x14ac:dyDescent="0.25">
      <c r="C47" s="725" t="s">
        <v>53</v>
      </c>
      <c r="D47" s="726">
        <v>2.81</v>
      </c>
      <c r="E47" s="727">
        <f>[1]Datos!K$23*FFM!D47%</f>
        <v>12152506.5864</v>
      </c>
      <c r="F47" s="723">
        <f t="shared" si="18"/>
        <v>8506754.6104799993</v>
      </c>
      <c r="G47" s="723">
        <f t="shared" si="16"/>
        <v>727956.3460673003</v>
      </c>
      <c r="H47" s="723">
        <f t="shared" si="17"/>
        <v>12880462.9324673</v>
      </c>
      <c r="I47" s="723">
        <f t="shared" si="19"/>
        <v>9234710.9565472994</v>
      </c>
      <c r="J47" s="724">
        <f t="shared" si="20"/>
        <v>3645751.975920001</v>
      </c>
      <c r="K47" s="713"/>
      <c r="L47" s="713"/>
      <c r="M47" s="708"/>
      <c r="N47" s="708"/>
      <c r="O47" s="713"/>
      <c r="P47" s="708"/>
      <c r="Q47" s="708"/>
      <c r="R47" s="708"/>
      <c r="S47" s="708"/>
      <c r="T47" s="708"/>
      <c r="U47" s="708"/>
    </row>
    <row r="48" spans="3:21" hidden="1" x14ac:dyDescent="0.25">
      <c r="C48" s="725" t="s">
        <v>54</v>
      </c>
      <c r="D48" s="726">
        <v>1.6</v>
      </c>
      <c r="E48" s="727">
        <f>[1]Datos!K$23*FFM!D48%</f>
        <v>6919576.7039999999</v>
      </c>
      <c r="F48" s="723">
        <f t="shared" si="18"/>
        <v>4843703.6927999994</v>
      </c>
      <c r="G48" s="723">
        <f t="shared" si="16"/>
        <v>420312.31672754308</v>
      </c>
      <c r="H48" s="723">
        <f t="shared" si="17"/>
        <v>7339889.0207275432</v>
      </c>
      <c r="I48" s="723">
        <f t="shared" si="19"/>
        <v>5264016.0095275426</v>
      </c>
      <c r="J48" s="724">
        <f t="shared" si="20"/>
        <v>2075873.0112000005</v>
      </c>
      <c r="K48" s="713"/>
      <c r="L48" s="713"/>
      <c r="M48" s="708"/>
      <c r="N48" s="708"/>
      <c r="O48" s="713"/>
      <c r="P48" s="708"/>
      <c r="Q48" s="708"/>
      <c r="R48" s="708"/>
      <c r="S48" s="708"/>
      <c r="T48" s="708"/>
      <c r="U48" s="708"/>
    </row>
    <row r="49" spans="2:21" hidden="1" x14ac:dyDescent="0.25">
      <c r="C49" s="725" t="s">
        <v>55</v>
      </c>
      <c r="D49" s="726">
        <v>2.84</v>
      </c>
      <c r="E49" s="727">
        <f>[1]Datos!K$23*FFM!D49%</f>
        <v>12282248.649599999</v>
      </c>
      <c r="F49" s="723">
        <f t="shared" si="18"/>
        <v>8597574.0547199994</v>
      </c>
      <c r="G49" s="723">
        <f t="shared" si="16"/>
        <v>1062523.0697446922</v>
      </c>
      <c r="H49" s="723">
        <f t="shared" si="17"/>
        <v>13344771.71934469</v>
      </c>
      <c r="I49" s="723">
        <f t="shared" si="19"/>
        <v>9660097.1244646907</v>
      </c>
      <c r="J49" s="724">
        <f t="shared" si="20"/>
        <v>3684674.5948799998</v>
      </c>
      <c r="K49" s="713"/>
      <c r="L49" s="713"/>
      <c r="M49" s="708"/>
      <c r="N49" s="708"/>
      <c r="O49" s="713"/>
      <c r="P49" s="708"/>
      <c r="Q49" s="708"/>
      <c r="R49" s="708"/>
      <c r="S49" s="708"/>
      <c r="T49" s="708"/>
      <c r="U49" s="708"/>
    </row>
    <row r="50" spans="2:21" hidden="1" x14ac:dyDescent="0.25">
      <c r="C50" s="725" t="s">
        <v>56</v>
      </c>
      <c r="D50" s="726">
        <v>3.33</v>
      </c>
      <c r="E50" s="727">
        <f>[1]Datos!K$23*FFM!D50%</f>
        <v>14401369.015200002</v>
      </c>
      <c r="F50" s="723">
        <f t="shared" si="18"/>
        <v>10080958.310640002</v>
      </c>
      <c r="G50" s="723">
        <f t="shared" si="16"/>
        <v>842265.43244195753</v>
      </c>
      <c r="H50" s="723">
        <f t="shared" si="17"/>
        <v>15243634.447641959</v>
      </c>
      <c r="I50" s="723">
        <f t="shared" si="19"/>
        <v>10923223.743081959</v>
      </c>
      <c r="J50" s="724">
        <f t="shared" si="20"/>
        <v>4320410.7045600004</v>
      </c>
      <c r="K50" s="713"/>
      <c r="L50" s="713"/>
      <c r="M50" s="708"/>
      <c r="N50" s="708"/>
      <c r="O50" s="713"/>
      <c r="P50" s="708"/>
      <c r="Q50" s="708"/>
      <c r="R50" s="708"/>
      <c r="S50" s="708"/>
      <c r="T50" s="708"/>
      <c r="U50" s="708"/>
    </row>
    <row r="51" spans="2:21" hidden="1" x14ac:dyDescent="0.25">
      <c r="C51" s="725" t="s">
        <v>57</v>
      </c>
      <c r="D51" s="726">
        <v>4.6900000000000004</v>
      </c>
      <c r="E51" s="727">
        <f>[1]Datos!K$23*FFM!D51%</f>
        <v>20283009.213600002</v>
      </c>
      <c r="F51" s="723">
        <f t="shared" si="18"/>
        <v>14198106.449520001</v>
      </c>
      <c r="G51" s="723">
        <f t="shared" si="16"/>
        <v>1414775.0740639635</v>
      </c>
      <c r="H51" s="723">
        <f t="shared" si="17"/>
        <v>21697784.287663966</v>
      </c>
      <c r="I51" s="723">
        <f t="shared" si="19"/>
        <v>15612881.523583965</v>
      </c>
      <c r="J51" s="724">
        <f t="shared" si="20"/>
        <v>6084902.764080001</v>
      </c>
      <c r="K51" s="713"/>
      <c r="L51" s="713"/>
      <c r="M51" s="708"/>
      <c r="N51" s="708"/>
      <c r="O51" s="713"/>
      <c r="P51" s="708"/>
      <c r="Q51" s="708"/>
      <c r="R51" s="708"/>
      <c r="S51" s="708"/>
      <c r="T51" s="708"/>
      <c r="U51" s="708"/>
    </row>
    <row r="52" spans="2:21" hidden="1" x14ac:dyDescent="0.25">
      <c r="C52" s="725" t="s">
        <v>58</v>
      </c>
      <c r="D52" s="726">
        <v>2.13</v>
      </c>
      <c r="E52" s="727">
        <f>[1]Datos!K$23*FFM!D52%</f>
        <v>9211686.4871999994</v>
      </c>
      <c r="F52" s="723">
        <f t="shared" si="18"/>
        <v>6448180.5410399996</v>
      </c>
      <c r="G52" s="723">
        <f t="shared" si="16"/>
        <v>306188.09956352436</v>
      </c>
      <c r="H52" s="723">
        <f t="shared" si="17"/>
        <v>9517874.5867635235</v>
      </c>
      <c r="I52" s="723">
        <f t="shared" si="19"/>
        <v>6754368.6406035237</v>
      </c>
      <c r="J52" s="724">
        <f t="shared" si="20"/>
        <v>2763505.9461599998</v>
      </c>
      <c r="K52" s="713"/>
      <c r="L52" s="713"/>
      <c r="M52" s="708"/>
      <c r="N52" s="708"/>
      <c r="O52" s="713"/>
      <c r="P52" s="708"/>
      <c r="Q52" s="708"/>
      <c r="R52" s="708"/>
      <c r="S52" s="708"/>
      <c r="T52" s="708"/>
      <c r="U52" s="708"/>
    </row>
    <row r="53" spans="2:21" hidden="1" x14ac:dyDescent="0.25">
      <c r="C53" s="725" t="s">
        <v>59</v>
      </c>
      <c r="D53" s="726">
        <v>2.81</v>
      </c>
      <c r="E53" s="727">
        <f>[1]Datos!K$23*FFM!D53%</f>
        <v>12152506.5864</v>
      </c>
      <c r="F53" s="723">
        <f t="shared" si="18"/>
        <v>8506754.6104799993</v>
      </c>
      <c r="G53" s="723">
        <f t="shared" si="16"/>
        <v>861387.0672077554</v>
      </c>
      <c r="H53" s="723">
        <f t="shared" si="17"/>
        <v>13013893.653607756</v>
      </c>
      <c r="I53" s="723">
        <f t="shared" si="19"/>
        <v>9368141.6776877549</v>
      </c>
      <c r="J53" s="724">
        <f t="shared" si="20"/>
        <v>3645751.975920001</v>
      </c>
      <c r="K53" s="713"/>
      <c r="L53" s="713"/>
      <c r="M53" s="708"/>
      <c r="N53" s="708"/>
      <c r="O53" s="713"/>
      <c r="P53" s="708"/>
      <c r="Q53" s="708"/>
      <c r="R53" s="708"/>
      <c r="S53" s="708"/>
      <c r="T53" s="708"/>
      <c r="U53" s="708"/>
    </row>
    <row r="54" spans="2:21" hidden="1" x14ac:dyDescent="0.25">
      <c r="C54" s="725" t="s">
        <v>60</v>
      </c>
      <c r="D54" s="726">
        <v>8.34</v>
      </c>
      <c r="E54" s="727">
        <f>[1]Datos!K$23*FFM!D54%</f>
        <v>36068293.569600001</v>
      </c>
      <c r="F54" s="723">
        <f t="shared" si="18"/>
        <v>25247805.498719998</v>
      </c>
      <c r="G54" s="723">
        <f t="shared" si="16"/>
        <v>3453235.3231016141</v>
      </c>
      <c r="H54" s="723">
        <f t="shared" si="17"/>
        <v>39521528.892701618</v>
      </c>
      <c r="I54" s="723">
        <f t="shared" si="19"/>
        <v>28701040.821821611</v>
      </c>
      <c r="J54" s="724">
        <f t="shared" si="20"/>
        <v>10820488.070880007</v>
      </c>
      <c r="K54" s="713"/>
      <c r="L54" s="713"/>
      <c r="M54" s="708"/>
      <c r="N54" s="708"/>
      <c r="O54" s="713"/>
      <c r="P54" s="708"/>
      <c r="Q54" s="708"/>
      <c r="R54" s="708"/>
      <c r="S54" s="708"/>
      <c r="T54" s="708"/>
      <c r="U54" s="708"/>
    </row>
    <row r="55" spans="2:21" hidden="1" x14ac:dyDescent="0.25">
      <c r="C55" s="725" t="s">
        <v>61</v>
      </c>
      <c r="D55" s="726">
        <v>3.5</v>
      </c>
      <c r="E55" s="727">
        <f>[1]Datos!K$23*FFM!D55%</f>
        <v>15136574.040000001</v>
      </c>
      <c r="F55" s="723">
        <f t="shared" si="18"/>
        <v>10595601.828</v>
      </c>
      <c r="G55" s="723">
        <f t="shared" si="16"/>
        <v>1297705.8425280699</v>
      </c>
      <c r="H55" s="723">
        <f t="shared" si="17"/>
        <v>16434279.88252807</v>
      </c>
      <c r="I55" s="723">
        <f t="shared" si="19"/>
        <v>11893307.670528069</v>
      </c>
      <c r="J55" s="724">
        <f t="shared" si="20"/>
        <v>4540972.2120000012</v>
      </c>
      <c r="K55" s="713"/>
      <c r="L55" s="713"/>
      <c r="M55" s="708"/>
      <c r="N55" s="708"/>
      <c r="O55" s="713"/>
      <c r="P55" s="708"/>
      <c r="Q55" s="708"/>
      <c r="R55" s="708"/>
      <c r="S55" s="708"/>
      <c r="T55" s="708"/>
      <c r="U55" s="708"/>
    </row>
    <row r="56" spans="2:21" hidden="1" x14ac:dyDescent="0.25">
      <c r="C56" s="725" t="s">
        <v>62</v>
      </c>
      <c r="D56" s="726">
        <v>39</v>
      </c>
      <c r="E56" s="727">
        <f>[1]Datos!K$23*FFM!D56%</f>
        <v>168664682.16</v>
      </c>
      <c r="F56" s="723">
        <f t="shared" si="18"/>
        <v>118065277.51199999</v>
      </c>
      <c r="G56" s="723">
        <f t="shared" si="16"/>
        <v>24928298.220619597</v>
      </c>
      <c r="H56" s="723">
        <f t="shared" si="17"/>
        <v>193592980.38061959</v>
      </c>
      <c r="I56" s="723">
        <f t="shared" si="19"/>
        <v>142993575.73261958</v>
      </c>
      <c r="J56" s="724">
        <f t="shared" si="20"/>
        <v>50599404.648000002</v>
      </c>
      <c r="K56" s="713"/>
      <c r="L56" s="713"/>
      <c r="M56" s="708"/>
      <c r="N56" s="708"/>
      <c r="O56" s="713"/>
      <c r="P56" s="708"/>
      <c r="Q56" s="708"/>
      <c r="R56" s="708"/>
      <c r="S56" s="708"/>
      <c r="T56" s="708"/>
      <c r="U56" s="708"/>
    </row>
    <row r="57" spans="2:21" hidden="1" x14ac:dyDescent="0.25">
      <c r="C57" s="725" t="s">
        <v>63</v>
      </c>
      <c r="D57" s="726">
        <v>3.79</v>
      </c>
      <c r="E57" s="727">
        <f>[1]Datos!K$23*FFM!D57%</f>
        <v>16390747.317600001</v>
      </c>
      <c r="F57" s="723">
        <f t="shared" si="18"/>
        <v>11473523.12232</v>
      </c>
      <c r="G57" s="723">
        <f t="shared" si="16"/>
        <v>1036703.2570687715</v>
      </c>
      <c r="H57" s="723">
        <f t="shared" si="17"/>
        <v>17427450.574668773</v>
      </c>
      <c r="I57" s="723">
        <f t="shared" si="19"/>
        <v>12510226.379388772</v>
      </c>
      <c r="J57" s="724">
        <f t="shared" si="20"/>
        <v>4917224.1952800006</v>
      </c>
      <c r="K57" s="713"/>
      <c r="L57" s="713"/>
      <c r="M57" s="708"/>
      <c r="N57" s="708"/>
      <c r="O57" s="713"/>
      <c r="P57" s="708"/>
      <c r="Q57" s="708"/>
      <c r="R57" s="708"/>
      <c r="S57" s="708"/>
      <c r="T57" s="708"/>
      <c r="U57" s="708"/>
    </row>
    <row r="58" spans="2:21" hidden="1" x14ac:dyDescent="0.25">
      <c r="C58" s="725" t="s">
        <v>64</v>
      </c>
      <c r="D58" s="726">
        <v>3.1</v>
      </c>
      <c r="E58" s="727">
        <f>[1]Datos!K$23*FFM!D58%</f>
        <v>13406679.864</v>
      </c>
      <c r="F58" s="723">
        <f t="shared" si="18"/>
        <v>9384675.9047999997</v>
      </c>
      <c r="G58" s="723">
        <f t="shared" si="16"/>
        <v>3784206.9890589081</v>
      </c>
      <c r="H58" s="723">
        <f t="shared" si="17"/>
        <v>17190886.853058908</v>
      </c>
      <c r="I58" s="723">
        <f t="shared" si="19"/>
        <v>13168882.893858908</v>
      </c>
      <c r="J58" s="724">
        <f t="shared" si="20"/>
        <v>4022003.9592000004</v>
      </c>
      <c r="K58" s="713"/>
      <c r="L58" s="713"/>
      <c r="M58" s="708"/>
      <c r="N58" s="708"/>
      <c r="O58" s="713"/>
      <c r="P58" s="708"/>
      <c r="Q58" s="708"/>
      <c r="R58" s="708"/>
      <c r="S58" s="708"/>
      <c r="T58" s="708"/>
      <c r="U58" s="708"/>
    </row>
    <row r="59" spans="2:21" hidden="1" x14ac:dyDescent="0.25">
      <c r="C59" s="728" t="s">
        <v>65</v>
      </c>
      <c r="D59" s="729">
        <f>SUM(D39:D58)</f>
        <v>100</v>
      </c>
      <c r="E59" s="730">
        <f>SUM(E39:E58)</f>
        <v>432473544.00000006</v>
      </c>
      <c r="F59" s="730">
        <f t="shared" si="18"/>
        <v>302731480.80000001</v>
      </c>
      <c r="G59" s="730">
        <f t="shared" si="16"/>
        <v>69655011.299999982</v>
      </c>
      <c r="H59" s="730">
        <f t="shared" si="17"/>
        <v>502128555.30000007</v>
      </c>
      <c r="I59" s="730">
        <f>SUM(I39:I58)</f>
        <v>372386492.09999996</v>
      </c>
      <c r="J59" s="731">
        <v>0</v>
      </c>
      <c r="K59" s="713"/>
      <c r="L59" s="713"/>
      <c r="M59" s="708"/>
      <c r="N59" s="708"/>
      <c r="O59" s="713"/>
      <c r="P59" s="708"/>
      <c r="Q59" s="708"/>
      <c r="R59" s="708"/>
      <c r="S59" s="708"/>
      <c r="T59" s="708"/>
      <c r="U59" s="708"/>
    </row>
    <row r="60" spans="2:21" ht="24" customHeight="1" x14ac:dyDescent="0.25">
      <c r="C60" s="1051" t="s">
        <v>379</v>
      </c>
      <c r="D60" s="1051"/>
      <c r="E60" s="1051"/>
      <c r="F60" s="1051"/>
      <c r="G60" s="1051"/>
      <c r="H60" s="1051"/>
      <c r="I60" s="1051"/>
      <c r="J60" s="1051"/>
      <c r="K60" s="1051"/>
      <c r="L60" s="1051"/>
      <c r="M60" s="1051"/>
      <c r="N60" s="1051"/>
      <c r="O60" s="1051"/>
      <c r="P60" s="1051"/>
      <c r="Q60" s="1051"/>
      <c r="R60" s="1051"/>
      <c r="S60" s="1051"/>
      <c r="T60" s="1051"/>
      <c r="U60" s="1051"/>
    </row>
    <row r="61" spans="2:21" ht="15" customHeight="1" x14ac:dyDescent="0.25">
      <c r="C61" s="1052"/>
      <c r="D61" s="1052"/>
      <c r="E61" s="1052"/>
      <c r="F61" s="1052"/>
      <c r="G61" s="1052"/>
      <c r="H61" s="1052"/>
      <c r="I61" s="1052"/>
      <c r="J61" s="1052"/>
      <c r="K61" s="1052"/>
      <c r="L61" s="1052"/>
      <c r="M61" s="1052"/>
      <c r="N61" s="1052"/>
      <c r="O61" s="1052"/>
      <c r="P61" s="1052"/>
      <c r="Q61" s="1052"/>
      <c r="R61" s="1052"/>
      <c r="S61" s="1052"/>
      <c r="T61" s="1052"/>
      <c r="U61" s="1052"/>
    </row>
    <row r="62" spans="2:21" x14ac:dyDescent="0.25">
      <c r="B62" s="520"/>
      <c r="C62" s="522"/>
      <c r="D62" s="523"/>
      <c r="E62" s="522"/>
      <c r="F62" s="522"/>
      <c r="G62" s="522"/>
      <c r="H62" s="524"/>
      <c r="I62" s="522"/>
      <c r="J62" s="522"/>
      <c r="K62" s="524"/>
      <c r="L62" s="524"/>
      <c r="M62" s="522"/>
      <c r="N62" s="522"/>
      <c r="O62" s="524"/>
      <c r="P62" s="522"/>
      <c r="Q62" s="522"/>
    </row>
    <row r="63" spans="2:21" x14ac:dyDescent="0.25">
      <c r="B63" s="520"/>
      <c r="C63" s="522"/>
      <c r="D63" s="523"/>
      <c r="E63" s="522"/>
      <c r="F63" s="522"/>
      <c r="G63" s="522"/>
      <c r="H63" s="524"/>
      <c r="I63" s="522"/>
      <c r="J63" s="522"/>
      <c r="K63" s="524"/>
      <c r="L63" s="524"/>
      <c r="M63" s="522"/>
      <c r="N63" s="522"/>
      <c r="O63" s="524"/>
      <c r="P63" s="522"/>
      <c r="Q63" s="522"/>
    </row>
    <row r="64" spans="2:21" x14ac:dyDescent="0.25">
      <c r="B64" s="520"/>
      <c r="C64" s="519"/>
      <c r="D64" s="521"/>
      <c r="E64" s="519"/>
      <c r="F64" s="519"/>
      <c r="G64" s="519"/>
      <c r="H64" s="518"/>
      <c r="I64" s="519"/>
      <c r="J64" s="519"/>
      <c r="K64" s="518"/>
      <c r="L64" s="518"/>
      <c r="M64" s="519"/>
      <c r="N64" s="519"/>
      <c r="O64" s="518"/>
      <c r="P64" s="519"/>
      <c r="Q64" s="519"/>
    </row>
    <row r="65" spans="2:17" x14ac:dyDescent="0.25">
      <c r="B65" s="520"/>
      <c r="C65" s="519"/>
      <c r="D65" s="521"/>
      <c r="E65" s="519"/>
      <c r="F65" s="519"/>
      <c r="G65" s="519"/>
      <c r="H65" s="518"/>
      <c r="I65" s="519"/>
      <c r="J65" s="519"/>
      <c r="K65" s="518"/>
      <c r="L65" s="518"/>
      <c r="M65" s="519"/>
      <c r="N65" s="519"/>
      <c r="O65" s="518"/>
      <c r="P65" s="519"/>
      <c r="Q65" s="519"/>
    </row>
  </sheetData>
  <mergeCells count="23">
    <mergeCell ref="C60:U60"/>
    <mergeCell ref="C61:U61"/>
    <mergeCell ref="C35:C38"/>
    <mergeCell ref="C3:C7"/>
    <mergeCell ref="D3:E3"/>
    <mergeCell ref="F3:H3"/>
    <mergeCell ref="I4:J4"/>
    <mergeCell ref="D4:D6"/>
    <mergeCell ref="E4:E6"/>
    <mergeCell ref="I3:L3"/>
    <mergeCell ref="B28:C28"/>
    <mergeCell ref="B29:Q29"/>
    <mergeCell ref="C31:Q31"/>
    <mergeCell ref="C32:U32"/>
    <mergeCell ref="C33:U33"/>
    <mergeCell ref="M3:O3"/>
    <mergeCell ref="B1:Q1"/>
    <mergeCell ref="B3:B7"/>
    <mergeCell ref="Q3:Q6"/>
    <mergeCell ref="I5:J5"/>
    <mergeCell ref="M5:N5"/>
    <mergeCell ref="L4:L6"/>
    <mergeCell ref="M4:N4"/>
  </mergeCells>
  <pageMargins left="0.70866141732283472" right="0.70866141732283472" top="0.74803149606299213" bottom="0.74803149606299213" header="0.31496062992125984" footer="0.31496062992125984"/>
  <pageSetup paperSize="5" scale="6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9" tint="0.39997558519241921"/>
  </sheetPr>
  <dimension ref="A1:T29"/>
  <sheetViews>
    <sheetView workbookViewId="0">
      <selection activeCell="C9" sqref="C9"/>
    </sheetView>
  </sheetViews>
  <sheetFormatPr baseColWidth="10" defaultRowHeight="12.75" x14ac:dyDescent="0.2"/>
  <cols>
    <col min="1" max="1" width="16.42578125" style="640" bestFit="1" customWidth="1"/>
    <col min="2" max="2" width="9.140625" style="640" bestFit="1" customWidth="1"/>
    <col min="3" max="3" width="10.85546875" style="640" bestFit="1" customWidth="1"/>
    <col min="4" max="4" width="11.7109375" style="640" bestFit="1" customWidth="1"/>
    <col min="5" max="10" width="10.85546875" style="640" bestFit="1" customWidth="1"/>
    <col min="11" max="11" width="11.5703125" style="640" customWidth="1"/>
    <col min="12" max="12" width="11.28515625" style="640" customWidth="1"/>
    <col min="13" max="14" width="10.85546875" style="640" bestFit="1" customWidth="1"/>
    <col min="15" max="15" width="11.7109375" style="640" bestFit="1" customWidth="1"/>
    <col min="16" max="19" width="11.42578125" style="640"/>
    <col min="20" max="20" width="11.7109375" style="640" bestFit="1" customWidth="1"/>
    <col min="21" max="16384" width="11.42578125" style="640"/>
  </cols>
  <sheetData>
    <row r="1" spans="1:15" ht="15.75" x14ac:dyDescent="0.25">
      <c r="A1" s="1235" t="s">
        <v>277</v>
      </c>
      <c r="B1" s="1235"/>
      <c r="C1" s="1235"/>
      <c r="D1" s="1235"/>
      <c r="E1" s="1235"/>
      <c r="F1" s="1235"/>
      <c r="G1" s="1235"/>
      <c r="H1" s="1235"/>
      <c r="I1" s="1235"/>
      <c r="J1" s="1235"/>
      <c r="K1" s="1235"/>
      <c r="L1" s="1235"/>
      <c r="M1" s="1235"/>
      <c r="N1" s="1235"/>
      <c r="O1" s="1235"/>
    </row>
    <row r="2" spans="1:15" x14ac:dyDescent="0.2">
      <c r="A2" s="1236" t="s">
        <v>278</v>
      </c>
      <c r="B2" s="1236"/>
      <c r="C2" s="1236"/>
      <c r="D2" s="1236"/>
      <c r="E2" s="1236"/>
      <c r="F2" s="1236"/>
      <c r="G2" s="1236"/>
      <c r="H2" s="1236"/>
      <c r="I2" s="1236"/>
      <c r="J2" s="1236"/>
      <c r="K2" s="1236"/>
      <c r="L2" s="1236"/>
      <c r="M2" s="1236"/>
      <c r="N2" s="1236"/>
      <c r="O2" s="1236"/>
    </row>
    <row r="3" spans="1:15" x14ac:dyDescent="0.2">
      <c r="A3" s="1236" t="s">
        <v>279</v>
      </c>
      <c r="B3" s="1236"/>
      <c r="C3" s="1236"/>
      <c r="D3" s="1236"/>
      <c r="E3" s="1236"/>
      <c r="F3" s="1236"/>
      <c r="G3" s="1236"/>
      <c r="H3" s="1236"/>
      <c r="I3" s="1236"/>
      <c r="J3" s="1236"/>
      <c r="K3" s="1236"/>
      <c r="L3" s="1236"/>
      <c r="M3" s="1236"/>
      <c r="N3" s="1236"/>
      <c r="O3" s="1236"/>
    </row>
    <row r="4" spans="1:15" x14ac:dyDescent="0.2">
      <c r="A4" s="1237" t="s">
        <v>366</v>
      </c>
      <c r="B4" s="1237"/>
      <c r="C4" s="1237"/>
      <c r="D4" s="1237"/>
      <c r="E4" s="1237"/>
      <c r="F4" s="1237"/>
      <c r="G4" s="1237"/>
      <c r="H4" s="1237"/>
      <c r="I4" s="1237"/>
      <c r="J4" s="1237"/>
      <c r="K4" s="1237"/>
      <c r="L4" s="1237"/>
      <c r="M4" s="1237"/>
      <c r="N4" s="1237"/>
      <c r="O4" s="1237"/>
    </row>
    <row r="5" spans="1:15" ht="13.5" thickBot="1" x14ac:dyDescent="0.25"/>
    <row r="6" spans="1:15" ht="23.25" thickBot="1" x14ac:dyDescent="0.25">
      <c r="A6" s="667" t="s">
        <v>351</v>
      </c>
      <c r="B6" s="668" t="s">
        <v>281</v>
      </c>
      <c r="C6" s="667" t="s">
        <v>1</v>
      </c>
      <c r="D6" s="669" t="s">
        <v>2</v>
      </c>
      <c r="E6" s="667" t="s">
        <v>3</v>
      </c>
      <c r="F6" s="669" t="s">
        <v>4</v>
      </c>
      <c r="G6" s="667" t="s">
        <v>5</v>
      </c>
      <c r="H6" s="667" t="s">
        <v>6</v>
      </c>
      <c r="I6" s="667" t="s">
        <v>7</v>
      </c>
      <c r="J6" s="669" t="s">
        <v>8</v>
      </c>
      <c r="K6" s="667" t="s">
        <v>9</v>
      </c>
      <c r="L6" s="669" t="s">
        <v>10</v>
      </c>
      <c r="M6" s="667" t="s">
        <v>11</v>
      </c>
      <c r="N6" s="667" t="s">
        <v>12</v>
      </c>
      <c r="O6" s="670" t="s">
        <v>168</v>
      </c>
    </row>
    <row r="7" spans="1:15" x14ac:dyDescent="0.2">
      <c r="A7" s="645" t="s">
        <v>282</v>
      </c>
      <c r="B7" s="665">
        <v>3.6200000000000003E-2</v>
      </c>
      <c r="C7" s="672">
        <v>2878623.4198950008</v>
      </c>
      <c r="D7" s="673">
        <v>3381300.9729450005</v>
      </c>
      <c r="E7" s="672">
        <v>2809531.1197800003</v>
      </c>
      <c r="F7" s="673">
        <v>3098355.9393150005</v>
      </c>
      <c r="G7" s="672">
        <v>2623805.8405650002</v>
      </c>
      <c r="H7" s="672">
        <v>2518492.8964950005</v>
      </c>
      <c r="I7" s="674">
        <v>3139518.9529800005</v>
      </c>
      <c r="J7" s="673">
        <v>2702840.8887900002</v>
      </c>
      <c r="K7" s="672">
        <v>3012274.8552150005</v>
      </c>
      <c r="L7" s="673">
        <v>3455303.2989750002</v>
      </c>
      <c r="M7" s="672">
        <v>2701980.4509900003</v>
      </c>
      <c r="N7" s="672">
        <v>3028285.5468750005</v>
      </c>
      <c r="O7" s="675">
        <f>SUM(C7:N7)</f>
        <v>35350314.182820007</v>
      </c>
    </row>
    <row r="8" spans="1:15" x14ac:dyDescent="0.2">
      <c r="A8" s="645" t="s">
        <v>147</v>
      </c>
      <c r="B8" s="665">
        <v>2.47E-2</v>
      </c>
      <c r="C8" s="672">
        <v>1964143.6041825002</v>
      </c>
      <c r="D8" s="673">
        <v>2307130.7743575</v>
      </c>
      <c r="E8" s="672">
        <v>1917000.5154300001</v>
      </c>
      <c r="F8" s="673">
        <v>2114071.5939525003</v>
      </c>
      <c r="G8" s="672">
        <v>1790276.3608275</v>
      </c>
      <c r="H8" s="672">
        <v>1718419.1862825002</v>
      </c>
      <c r="I8" s="672">
        <v>2142157.9596299999</v>
      </c>
      <c r="J8" s="673">
        <v>1844203.589865</v>
      </c>
      <c r="K8" s="672">
        <v>2055336.7106025</v>
      </c>
      <c r="L8" s="673">
        <v>2357624.0741625</v>
      </c>
      <c r="M8" s="672">
        <v>1843616.495565</v>
      </c>
      <c r="N8" s="672">
        <v>2066261.1328125</v>
      </c>
      <c r="O8" s="675">
        <f t="shared" ref="O8:O26" si="0">SUM(C8:N8)</f>
        <v>24120241.997669999</v>
      </c>
    </row>
    <row r="9" spans="1:15" x14ac:dyDescent="0.2">
      <c r="A9" s="645" t="s">
        <v>148</v>
      </c>
      <c r="B9" s="665">
        <v>2.3300000000000001E-2</v>
      </c>
      <c r="C9" s="672">
        <v>1852815.6266175003</v>
      </c>
      <c r="D9" s="673">
        <v>2176362.2284425003</v>
      </c>
      <c r="E9" s="672">
        <v>1808344.6157700003</v>
      </c>
      <c r="F9" s="673">
        <v>1994245.6736475001</v>
      </c>
      <c r="G9" s="672">
        <v>1688803.2067725002</v>
      </c>
      <c r="H9" s="672">
        <v>1621018.9085175004</v>
      </c>
      <c r="I9" s="672">
        <v>2020740.0995700003</v>
      </c>
      <c r="J9" s="673">
        <v>1739673.8317350002</v>
      </c>
      <c r="K9" s="672">
        <v>1938839.8929975003</v>
      </c>
      <c r="L9" s="673">
        <v>2223993.5598375001</v>
      </c>
      <c r="M9" s="672">
        <v>1739120.0140350002</v>
      </c>
      <c r="N9" s="672">
        <v>1949145.1171875</v>
      </c>
      <c r="O9" s="675">
        <f t="shared" si="0"/>
        <v>22753102.775130007</v>
      </c>
    </row>
    <row r="10" spans="1:15" x14ac:dyDescent="0.2">
      <c r="A10" s="645" t="s">
        <v>283</v>
      </c>
      <c r="B10" s="665">
        <v>2.81E-2</v>
      </c>
      <c r="C10" s="672">
        <v>2234511.5496975002</v>
      </c>
      <c r="D10" s="673">
        <v>2624711.5287225004</v>
      </c>
      <c r="E10" s="672">
        <v>2180879.1288900003</v>
      </c>
      <c r="F10" s="673">
        <v>2405077.4004075001</v>
      </c>
      <c r="G10" s="672">
        <v>2036711.1635325002</v>
      </c>
      <c r="H10" s="672">
        <v>1954962.7179975002</v>
      </c>
      <c r="I10" s="672">
        <v>2437029.9054900003</v>
      </c>
      <c r="J10" s="673">
        <v>2098061.5738949999</v>
      </c>
      <c r="K10" s="672">
        <v>2338257.5533575001</v>
      </c>
      <c r="L10" s="673">
        <v>2682155.3232375002</v>
      </c>
      <c r="M10" s="672">
        <v>2097393.6649950002</v>
      </c>
      <c r="N10" s="672">
        <v>2350685.7421875</v>
      </c>
      <c r="O10" s="675">
        <f t="shared" si="0"/>
        <v>27440437.252410006</v>
      </c>
    </row>
    <row r="11" spans="1:15" x14ac:dyDescent="0.2">
      <c r="A11" s="645" t="s">
        <v>150</v>
      </c>
      <c r="B11" s="665">
        <v>4.6399999999999997E-2</v>
      </c>
      <c r="C11" s="672">
        <v>3689727.2564400001</v>
      </c>
      <c r="D11" s="673">
        <v>4334043.2360399999</v>
      </c>
      <c r="E11" s="672">
        <v>3601166.9601600002</v>
      </c>
      <c r="F11" s="673">
        <v>3971373.3586800001</v>
      </c>
      <c r="G11" s="672">
        <v>3363110.2486799997</v>
      </c>
      <c r="H11" s="672">
        <v>3228123.4916400001</v>
      </c>
      <c r="I11" s="672">
        <v>4024134.7905600001</v>
      </c>
      <c r="J11" s="673">
        <v>3464414.84088</v>
      </c>
      <c r="K11" s="672">
        <v>3861037.3834799998</v>
      </c>
      <c r="L11" s="673">
        <v>4428897.0461999997</v>
      </c>
      <c r="M11" s="672">
        <v>3463311.9592800001</v>
      </c>
      <c r="N11" s="672">
        <v>3881559.3749999995</v>
      </c>
      <c r="O11" s="675">
        <f t="shared" si="0"/>
        <v>45310899.947040007</v>
      </c>
    </row>
    <row r="12" spans="1:15" x14ac:dyDescent="0.2">
      <c r="A12" s="645" t="s">
        <v>284</v>
      </c>
      <c r="B12" s="665">
        <v>1.4999999999999999E-2</v>
      </c>
      <c r="C12" s="672">
        <v>1192799.7596250002</v>
      </c>
      <c r="D12" s="673">
        <v>1401091.5633750001</v>
      </c>
      <c r="E12" s="672">
        <v>1164170.3535</v>
      </c>
      <c r="F12" s="673">
        <v>1283849.146125</v>
      </c>
      <c r="G12" s="672">
        <v>1087212.364875</v>
      </c>
      <c r="H12" s="672">
        <v>1043574.4046250001</v>
      </c>
      <c r="I12" s="672">
        <v>1300905.6435</v>
      </c>
      <c r="J12" s="673">
        <v>1119961.6942499999</v>
      </c>
      <c r="K12" s="672">
        <v>1248180.188625</v>
      </c>
      <c r="L12" s="673">
        <v>1431755.5106249999</v>
      </c>
      <c r="M12" s="672">
        <v>1119605.15925</v>
      </c>
      <c r="N12" s="672">
        <v>1254814.453125</v>
      </c>
      <c r="O12" s="675">
        <f t="shared" si="0"/>
        <v>14647920.241500001</v>
      </c>
    </row>
    <row r="13" spans="1:15" x14ac:dyDescent="0.2">
      <c r="A13" s="645" t="s">
        <v>152</v>
      </c>
      <c r="B13" s="665">
        <v>1.5299999999999999E-2</v>
      </c>
      <c r="C13" s="672">
        <v>1216655.7548175</v>
      </c>
      <c r="D13" s="673">
        <v>1429113.3946425</v>
      </c>
      <c r="E13" s="672">
        <v>1187453.7605699999</v>
      </c>
      <c r="F13" s="673">
        <v>1309526.1290475</v>
      </c>
      <c r="G13" s="672">
        <v>1108956.6121725</v>
      </c>
      <c r="H13" s="672">
        <v>1064445.8927175</v>
      </c>
      <c r="I13" s="672">
        <v>1326923.7563700001</v>
      </c>
      <c r="J13" s="673">
        <v>1142360.9281349999</v>
      </c>
      <c r="K13" s="672">
        <v>1273143.7923975</v>
      </c>
      <c r="L13" s="673">
        <v>1460390.6208374999</v>
      </c>
      <c r="M13" s="672">
        <v>1141997.2624349999</v>
      </c>
      <c r="N13" s="672">
        <v>1279910.7421875</v>
      </c>
      <c r="O13" s="675">
        <f t="shared" si="0"/>
        <v>14940878.646330001</v>
      </c>
    </row>
    <row r="14" spans="1:15" x14ac:dyDescent="0.2">
      <c r="A14" s="645" t="s">
        <v>153</v>
      </c>
      <c r="B14" s="665">
        <v>3.1600000000000003E-2</v>
      </c>
      <c r="C14" s="672">
        <v>2512831.4936100007</v>
      </c>
      <c r="D14" s="673">
        <v>2951632.8935100008</v>
      </c>
      <c r="E14" s="672">
        <v>2452518.8780400003</v>
      </c>
      <c r="F14" s="673">
        <v>2704642.2011700002</v>
      </c>
      <c r="G14" s="672">
        <v>2290394.0486700004</v>
      </c>
      <c r="H14" s="672">
        <v>2198463.4124100003</v>
      </c>
      <c r="I14" s="672">
        <v>2740574.5556400004</v>
      </c>
      <c r="J14" s="673">
        <v>2359385.9692200003</v>
      </c>
      <c r="K14" s="672">
        <v>2629499.5973700006</v>
      </c>
      <c r="L14" s="673">
        <v>3016231.6090500001</v>
      </c>
      <c r="M14" s="672">
        <v>2358634.8688200004</v>
      </c>
      <c r="N14" s="672">
        <v>2643475.7812500005</v>
      </c>
      <c r="O14" s="675">
        <f t="shared" si="0"/>
        <v>30858285.308760006</v>
      </c>
    </row>
    <row r="15" spans="1:15" x14ac:dyDescent="0.2">
      <c r="A15" s="645" t="s">
        <v>154</v>
      </c>
      <c r="B15" s="665">
        <v>2.81E-2</v>
      </c>
      <c r="C15" s="672">
        <v>2234511.5496975002</v>
      </c>
      <c r="D15" s="673">
        <v>2624711.5287225004</v>
      </c>
      <c r="E15" s="672">
        <v>2180879.1288900003</v>
      </c>
      <c r="F15" s="673">
        <v>2405077.4004075001</v>
      </c>
      <c r="G15" s="672">
        <v>2036711.1635325002</v>
      </c>
      <c r="H15" s="672">
        <v>1954962.7179975002</v>
      </c>
      <c r="I15" s="672">
        <v>2437029.9054900003</v>
      </c>
      <c r="J15" s="673">
        <v>2098061.5738949999</v>
      </c>
      <c r="K15" s="672">
        <v>2338257.5533575001</v>
      </c>
      <c r="L15" s="673">
        <v>2682155.3232375002</v>
      </c>
      <c r="M15" s="672">
        <v>2097393.6649950002</v>
      </c>
      <c r="N15" s="672">
        <v>2350685.7421875</v>
      </c>
      <c r="O15" s="675">
        <f t="shared" si="0"/>
        <v>27440437.252410006</v>
      </c>
    </row>
    <row r="16" spans="1:15" x14ac:dyDescent="0.2">
      <c r="A16" s="645" t="s">
        <v>155</v>
      </c>
      <c r="B16" s="665">
        <v>1.6E-2</v>
      </c>
      <c r="C16" s="672">
        <v>1272319.7436000002</v>
      </c>
      <c r="D16" s="673">
        <v>1494497.6676000003</v>
      </c>
      <c r="E16" s="672">
        <v>1241781.7104000002</v>
      </c>
      <c r="F16" s="673">
        <v>1369439.0892</v>
      </c>
      <c r="G16" s="672">
        <v>1159693.1892000001</v>
      </c>
      <c r="H16" s="672">
        <v>1113146.0316000001</v>
      </c>
      <c r="I16" s="672">
        <v>1387632.6864000002</v>
      </c>
      <c r="J16" s="673">
        <v>1194625.8072000002</v>
      </c>
      <c r="K16" s="672">
        <v>1331392.2012</v>
      </c>
      <c r="L16" s="673">
        <v>1527205.878</v>
      </c>
      <c r="M16" s="672">
        <v>1194245.5032000002</v>
      </c>
      <c r="N16" s="672">
        <v>1338468.75</v>
      </c>
      <c r="O16" s="675">
        <f t="shared" si="0"/>
        <v>15624448.257600002</v>
      </c>
    </row>
    <row r="17" spans="1:20" x14ac:dyDescent="0.2">
      <c r="A17" s="645" t="s">
        <v>156</v>
      </c>
      <c r="B17" s="665">
        <v>2.8400000000000002E-2</v>
      </c>
      <c r="C17" s="672">
        <v>2258367.5448900005</v>
      </c>
      <c r="D17" s="673">
        <v>2652733.3599900003</v>
      </c>
      <c r="E17" s="672">
        <v>2204162.5359600005</v>
      </c>
      <c r="F17" s="673">
        <v>2430754.3833300001</v>
      </c>
      <c r="G17" s="672">
        <v>2058455.4108300002</v>
      </c>
      <c r="H17" s="672">
        <v>1975834.2060900005</v>
      </c>
      <c r="I17" s="672">
        <v>2463048.0183600001</v>
      </c>
      <c r="J17" s="673">
        <v>2120460.8077800004</v>
      </c>
      <c r="K17" s="672">
        <v>2363221.1571300002</v>
      </c>
      <c r="L17" s="673">
        <v>2710790.4334500004</v>
      </c>
      <c r="M17" s="672">
        <v>2119785.7681800001</v>
      </c>
      <c r="N17" s="672">
        <v>2375782.03125</v>
      </c>
      <c r="O17" s="675">
        <f t="shared" si="0"/>
        <v>27733395.657240007</v>
      </c>
    </row>
    <row r="18" spans="1:20" x14ac:dyDescent="0.2">
      <c r="A18" s="645" t="s">
        <v>157</v>
      </c>
      <c r="B18" s="665">
        <v>3.3300000000000003E-2</v>
      </c>
      <c r="C18" s="672">
        <v>2648015.4663675004</v>
      </c>
      <c r="D18" s="673">
        <v>3110423.2706925008</v>
      </c>
      <c r="E18" s="672">
        <v>2584458.1847700006</v>
      </c>
      <c r="F18" s="673">
        <v>2850145.1043975004</v>
      </c>
      <c r="G18" s="672">
        <v>2413611.4500225005</v>
      </c>
      <c r="H18" s="672">
        <v>2316735.1782675004</v>
      </c>
      <c r="I18" s="672">
        <v>2888010.5285700005</v>
      </c>
      <c r="J18" s="673">
        <v>2486314.9612350003</v>
      </c>
      <c r="K18" s="672">
        <v>2770960.0187475001</v>
      </c>
      <c r="L18" s="673">
        <v>3178497.2335875002</v>
      </c>
      <c r="M18" s="672">
        <v>2485523.4535350003</v>
      </c>
      <c r="N18" s="672">
        <v>2785688.0859375005</v>
      </c>
      <c r="O18" s="675">
        <f t="shared" si="0"/>
        <v>32518382.936130006</v>
      </c>
    </row>
    <row r="19" spans="1:20" x14ac:dyDescent="0.2">
      <c r="A19" s="645" t="s">
        <v>158</v>
      </c>
      <c r="B19" s="665">
        <v>4.6899999999999997E-2</v>
      </c>
      <c r="C19" s="672">
        <v>3729487.2484275</v>
      </c>
      <c r="D19" s="673">
        <v>4380746.2881525001</v>
      </c>
      <c r="E19" s="672">
        <v>3639972.6386100003</v>
      </c>
      <c r="F19" s="673">
        <v>4014168.3302174998</v>
      </c>
      <c r="G19" s="672">
        <v>3399350.6608425002</v>
      </c>
      <c r="H19" s="672">
        <v>3262909.3051275001</v>
      </c>
      <c r="I19" s="672">
        <v>4067498.31201</v>
      </c>
      <c r="J19" s="673">
        <v>3501746.897355</v>
      </c>
      <c r="K19" s="672">
        <v>3902643.3897675001</v>
      </c>
      <c r="L19" s="673">
        <v>4476622.2298874995</v>
      </c>
      <c r="M19" s="672">
        <v>3500632.1312549999</v>
      </c>
      <c r="N19" s="672">
        <v>3923386.5234375</v>
      </c>
      <c r="O19" s="675">
        <f t="shared" si="0"/>
        <v>45799163.955090001</v>
      </c>
    </row>
    <row r="20" spans="1:20" x14ac:dyDescent="0.2">
      <c r="A20" s="645" t="s">
        <v>285</v>
      </c>
      <c r="B20" s="665">
        <v>2.1299999999999999E-2</v>
      </c>
      <c r="C20" s="672">
        <v>1693775.6586675001</v>
      </c>
      <c r="D20" s="673">
        <v>1989550.0199925001</v>
      </c>
      <c r="E20" s="672">
        <v>1653121.90197</v>
      </c>
      <c r="F20" s="673">
        <v>1823065.7874975</v>
      </c>
      <c r="G20" s="672">
        <v>1543841.5581225001</v>
      </c>
      <c r="H20" s="672">
        <v>1481875.6545675001</v>
      </c>
      <c r="I20" s="672">
        <v>1847286.0137700001</v>
      </c>
      <c r="J20" s="673">
        <v>1590345.6058350001</v>
      </c>
      <c r="K20" s="672">
        <v>1772415.8678475001</v>
      </c>
      <c r="L20" s="673">
        <v>2033092.8250875</v>
      </c>
      <c r="M20" s="672">
        <v>1589839.326135</v>
      </c>
      <c r="N20" s="672">
        <v>1781836.5234375</v>
      </c>
      <c r="O20" s="675">
        <f t="shared" si="0"/>
        <v>20800046.742929999</v>
      </c>
    </row>
    <row r="21" spans="1:20" x14ac:dyDescent="0.2">
      <c r="A21" s="645" t="s">
        <v>286</v>
      </c>
      <c r="B21" s="665">
        <v>2.81E-2</v>
      </c>
      <c r="C21" s="672">
        <v>2234511.5496975002</v>
      </c>
      <c r="D21" s="673">
        <v>2624711.5287225004</v>
      </c>
      <c r="E21" s="672">
        <v>2180879.1288900003</v>
      </c>
      <c r="F21" s="673">
        <v>2405077.4004075001</v>
      </c>
      <c r="G21" s="672">
        <v>2036711.1635325002</v>
      </c>
      <c r="H21" s="672">
        <v>1954962.7179975002</v>
      </c>
      <c r="I21" s="672">
        <v>2437029.9054900003</v>
      </c>
      <c r="J21" s="673">
        <v>2098061.5738949999</v>
      </c>
      <c r="K21" s="672">
        <v>2338257.5533575001</v>
      </c>
      <c r="L21" s="673">
        <v>2682155.3232375002</v>
      </c>
      <c r="M21" s="672">
        <v>2097393.6649950002</v>
      </c>
      <c r="N21" s="672">
        <v>2350685.7421875</v>
      </c>
      <c r="O21" s="675">
        <f t="shared" si="0"/>
        <v>27440437.252410006</v>
      </c>
    </row>
    <row r="22" spans="1:20" x14ac:dyDescent="0.2">
      <c r="A22" s="645" t="s">
        <v>287</v>
      </c>
      <c r="B22" s="665">
        <v>8.3400000000000002E-2</v>
      </c>
      <c r="C22" s="672">
        <v>6631966.6635150006</v>
      </c>
      <c r="D22" s="673">
        <v>7790069.0923650013</v>
      </c>
      <c r="E22" s="672">
        <v>6472787.1654600007</v>
      </c>
      <c r="F22" s="673">
        <v>7138201.2524550008</v>
      </c>
      <c r="G22" s="672">
        <v>6044900.7487050006</v>
      </c>
      <c r="H22" s="672">
        <v>5802273.6897150008</v>
      </c>
      <c r="I22" s="672">
        <v>7233035.3778600004</v>
      </c>
      <c r="J22" s="673">
        <v>6226987.0200300002</v>
      </c>
      <c r="K22" s="672">
        <v>6939881.8487550002</v>
      </c>
      <c r="L22" s="673">
        <v>7960560.6390749998</v>
      </c>
      <c r="M22" s="672">
        <v>6225004.6854300005</v>
      </c>
      <c r="N22" s="672">
        <v>6976768.359375</v>
      </c>
      <c r="O22" s="675">
        <f t="shared" si="0"/>
        <v>81442436.542740017</v>
      </c>
    </row>
    <row r="23" spans="1:20" x14ac:dyDescent="0.2">
      <c r="A23" s="645" t="s">
        <v>162</v>
      </c>
      <c r="B23" s="665">
        <v>3.5000000000000003E-2</v>
      </c>
      <c r="C23" s="672">
        <v>2783199.4391250005</v>
      </c>
      <c r="D23" s="673">
        <v>3269213.6478750007</v>
      </c>
      <c r="E23" s="672">
        <v>2716397.4915000005</v>
      </c>
      <c r="F23" s="673">
        <v>2995648.0076250006</v>
      </c>
      <c r="G23" s="672">
        <v>2536828.8513750006</v>
      </c>
      <c r="H23" s="672">
        <v>2435006.9441250004</v>
      </c>
      <c r="I23" s="672">
        <v>3035446.5015000007</v>
      </c>
      <c r="J23" s="673">
        <v>2613243.9532500003</v>
      </c>
      <c r="K23" s="672">
        <v>2912420.4401250002</v>
      </c>
      <c r="L23" s="673">
        <v>3340762.8581250003</v>
      </c>
      <c r="M23" s="672">
        <v>2612412.0382500002</v>
      </c>
      <c r="N23" s="672">
        <v>2927900.3906250005</v>
      </c>
      <c r="O23" s="675">
        <f t="shared" si="0"/>
        <v>34178480.563500009</v>
      </c>
    </row>
    <row r="24" spans="1:20" x14ac:dyDescent="0.2">
      <c r="A24" s="645" t="s">
        <v>163</v>
      </c>
      <c r="B24" s="665">
        <v>0.39</v>
      </c>
      <c r="C24" s="672">
        <v>31012793.750250004</v>
      </c>
      <c r="D24" s="673">
        <v>36428380.647750005</v>
      </c>
      <c r="E24" s="672">
        <v>30268429.191000003</v>
      </c>
      <c r="F24" s="673">
        <v>33380077.799250003</v>
      </c>
      <c r="G24" s="672">
        <v>28267521.486750003</v>
      </c>
      <c r="H24" s="672">
        <v>27132934.520250004</v>
      </c>
      <c r="I24" s="672">
        <v>33823546.731000006</v>
      </c>
      <c r="J24" s="673">
        <v>29119004.050500002</v>
      </c>
      <c r="K24" s="672">
        <v>32452684.904250003</v>
      </c>
      <c r="L24" s="673">
        <v>37225643.276250005</v>
      </c>
      <c r="M24" s="672">
        <v>29109734.140500002</v>
      </c>
      <c r="N24" s="672">
        <v>32625175.78125</v>
      </c>
      <c r="O24" s="675">
        <f t="shared" si="0"/>
        <v>380845926.27900004</v>
      </c>
      <c r="T24" s="649"/>
    </row>
    <row r="25" spans="1:20" x14ac:dyDescent="0.2">
      <c r="A25" s="645" t="s">
        <v>164</v>
      </c>
      <c r="B25" s="665">
        <v>3.7900000000000003E-2</v>
      </c>
      <c r="C25" s="672">
        <v>3013807.3926525004</v>
      </c>
      <c r="D25" s="673">
        <v>3540091.3501275005</v>
      </c>
      <c r="E25" s="672">
        <v>2941470.4265100006</v>
      </c>
      <c r="F25" s="673">
        <v>3243858.8425425002</v>
      </c>
      <c r="G25" s="672">
        <v>2747023.2419175003</v>
      </c>
      <c r="H25" s="672">
        <v>2636764.6623525005</v>
      </c>
      <c r="I25" s="672">
        <v>3286954.9259100007</v>
      </c>
      <c r="J25" s="673">
        <v>2829769.8808050002</v>
      </c>
      <c r="K25" s="672">
        <v>3153735.2765925005</v>
      </c>
      <c r="L25" s="673">
        <v>3617568.9235125002</v>
      </c>
      <c r="M25" s="672">
        <v>2828869.0357050002</v>
      </c>
      <c r="N25" s="672">
        <v>3170497.8515625005</v>
      </c>
      <c r="O25" s="675">
        <f t="shared" si="0"/>
        <v>37010411.810190007</v>
      </c>
      <c r="T25" s="649"/>
    </row>
    <row r="26" spans="1:20" ht="13.5" thickBot="1" x14ac:dyDescent="0.25">
      <c r="A26" s="645" t="s">
        <v>165</v>
      </c>
      <c r="B26" s="665">
        <v>3.1E-2</v>
      </c>
      <c r="C26" s="672">
        <v>2465119.5032250001</v>
      </c>
      <c r="D26" s="673">
        <v>2895589.2309750002</v>
      </c>
      <c r="E26" s="672">
        <v>2405952.0639</v>
      </c>
      <c r="F26" s="673">
        <v>2653288.2353250002</v>
      </c>
      <c r="G26" s="672">
        <v>2246905.5540749999</v>
      </c>
      <c r="H26" s="672">
        <v>2156720.4362250003</v>
      </c>
      <c r="I26" s="678">
        <v>2688538.3299000002</v>
      </c>
      <c r="J26" s="673">
        <v>2314587.5014499999</v>
      </c>
      <c r="K26" s="672">
        <v>2579572.389825</v>
      </c>
      <c r="L26" s="673">
        <v>2958961.3886250001</v>
      </c>
      <c r="M26" s="672">
        <v>2313850.6624500002</v>
      </c>
      <c r="N26" s="672">
        <v>2593283.203125</v>
      </c>
      <c r="O26" s="675">
        <f t="shared" si="0"/>
        <v>30272368.4991</v>
      </c>
      <c r="T26" s="649"/>
    </row>
    <row r="27" spans="1:20" ht="13.5" thickBot="1" x14ac:dyDescent="0.25">
      <c r="A27" s="650" t="s">
        <v>288</v>
      </c>
      <c r="B27" s="666">
        <f>SUM(B7:B26)</f>
        <v>1</v>
      </c>
      <c r="C27" s="680">
        <f>SUM(C7:C26)</f>
        <v>79519983.975000009</v>
      </c>
      <c r="D27" s="680">
        <f t="shared" ref="D27:N27" si="1">SUM(D7:D26)</f>
        <v>93406104.225000024</v>
      </c>
      <c r="E27" s="680">
        <f t="shared" si="1"/>
        <v>77611356.900000006</v>
      </c>
      <c r="F27" s="680">
        <f t="shared" si="1"/>
        <v>85589943.075000003</v>
      </c>
      <c r="G27" s="680">
        <f t="shared" si="1"/>
        <v>72480824.325000003</v>
      </c>
      <c r="H27" s="680">
        <f t="shared" si="1"/>
        <v>69571626.975000009</v>
      </c>
      <c r="I27" s="680">
        <f t="shared" si="1"/>
        <v>86727042.900000006</v>
      </c>
      <c r="J27" s="680">
        <f t="shared" si="1"/>
        <v>74664112.950000003</v>
      </c>
      <c r="K27" s="680">
        <f t="shared" si="1"/>
        <v>83212012.575000003</v>
      </c>
      <c r="L27" s="680">
        <f t="shared" si="1"/>
        <v>95450367.375</v>
      </c>
      <c r="M27" s="680">
        <f t="shared" si="1"/>
        <v>74640343.950000003</v>
      </c>
      <c r="N27" s="680">
        <f t="shared" si="1"/>
        <v>83654296.875</v>
      </c>
      <c r="O27" s="680">
        <f>SUM(C27:N27)</f>
        <v>976528016.10000026</v>
      </c>
      <c r="T27" s="649"/>
    </row>
    <row r="28" spans="1:20" x14ac:dyDescent="0.2">
      <c r="A28" s="653"/>
      <c r="B28" s="653"/>
      <c r="C28" s="653"/>
      <c r="D28" s="653"/>
      <c r="E28" s="653"/>
      <c r="F28" s="653"/>
      <c r="G28" s="653"/>
      <c r="H28" s="653"/>
      <c r="I28" s="653"/>
      <c r="J28" s="653"/>
      <c r="K28" s="653"/>
      <c r="L28" s="653"/>
      <c r="M28" s="653"/>
      <c r="N28" s="653"/>
      <c r="O28" s="653"/>
      <c r="T28" s="649"/>
    </row>
    <row r="29" spans="1:20" x14ac:dyDescent="0.2">
      <c r="A29" s="654" t="s">
        <v>289</v>
      </c>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5"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9" tint="0.39997558519241921"/>
  </sheetPr>
  <dimension ref="A1:T26"/>
  <sheetViews>
    <sheetView workbookViewId="0">
      <selection activeCell="I12" sqref="I12:K12"/>
    </sheetView>
  </sheetViews>
  <sheetFormatPr baseColWidth="10" defaultRowHeight="12.75" x14ac:dyDescent="0.2"/>
  <cols>
    <col min="1" max="1" width="16.42578125" style="640" bestFit="1" customWidth="1"/>
    <col min="2" max="2" width="9.140625" style="640" hidden="1" customWidth="1"/>
    <col min="3" max="10" width="9.5703125" style="640" bestFit="1" customWidth="1"/>
    <col min="11" max="11" width="9.7109375" style="640" bestFit="1" customWidth="1"/>
    <col min="12" max="14" width="9.5703125" style="640" bestFit="1" customWidth="1"/>
    <col min="15" max="15" width="10.85546875" style="640" bestFit="1" customWidth="1"/>
    <col min="16" max="16" width="12.7109375" style="640" bestFit="1" customWidth="1"/>
    <col min="17" max="19" width="11.42578125" style="640"/>
    <col min="20" max="20" width="11.7109375" style="640" bestFit="1" customWidth="1"/>
    <col min="21" max="16384" width="11.42578125" style="640"/>
  </cols>
  <sheetData>
    <row r="1" spans="1:17" x14ac:dyDescent="0.2">
      <c r="A1" s="1237" t="s">
        <v>384</v>
      </c>
      <c r="B1" s="1237"/>
      <c r="C1" s="1237"/>
      <c r="D1" s="1237"/>
      <c r="E1" s="1237"/>
      <c r="F1" s="1237"/>
      <c r="G1" s="1237"/>
      <c r="H1" s="1237"/>
      <c r="I1" s="1237"/>
      <c r="J1" s="1237"/>
      <c r="K1" s="1237"/>
      <c r="L1" s="1237"/>
      <c r="M1" s="1237"/>
      <c r="N1" s="1237"/>
      <c r="O1" s="1237"/>
    </row>
    <row r="2" spans="1:17" ht="13.5" thickBot="1" x14ac:dyDescent="0.25"/>
    <row r="3" spans="1:17" ht="23.25" thickBot="1" x14ac:dyDescent="0.25">
      <c r="A3" s="667" t="s">
        <v>351</v>
      </c>
      <c r="B3" s="668" t="s">
        <v>281</v>
      </c>
      <c r="C3" s="667" t="s">
        <v>1</v>
      </c>
      <c r="D3" s="669" t="s">
        <v>2</v>
      </c>
      <c r="E3" s="667" t="s">
        <v>3</v>
      </c>
      <c r="F3" s="669" t="s">
        <v>4</v>
      </c>
      <c r="G3" s="667" t="s">
        <v>5</v>
      </c>
      <c r="H3" s="667" t="s">
        <v>6</v>
      </c>
      <c r="I3" s="667" t="s">
        <v>7</v>
      </c>
      <c r="J3" s="669" t="s">
        <v>8</v>
      </c>
      <c r="K3" s="667" t="s">
        <v>9</v>
      </c>
      <c r="L3" s="669" t="s">
        <v>10</v>
      </c>
      <c r="M3" s="667" t="s">
        <v>11</v>
      </c>
      <c r="N3" s="667" t="s">
        <v>12</v>
      </c>
      <c r="O3" s="670" t="s">
        <v>168</v>
      </c>
    </row>
    <row r="4" spans="1:17" x14ac:dyDescent="0.2">
      <c r="A4" s="645" t="s">
        <v>282</v>
      </c>
      <c r="B4" s="665"/>
      <c r="C4" s="647">
        <f>F.G.P.INCREMENTO!C7</f>
        <v>1546654.3719838024</v>
      </c>
      <c r="D4" s="647">
        <f>F.G.P.INCREMENTO!D7</f>
        <v>3015130.7610319685</v>
      </c>
      <c r="E4" s="647">
        <f>F.G.P.INCREMENTO!E7</f>
        <v>1358897.5562692096</v>
      </c>
      <c r="F4" s="647">
        <f>F.G.P.INCREMENTO!F7</f>
        <v>3106480.8458804167</v>
      </c>
      <c r="G4" s="647">
        <f>F.G.P.INCREMENTO!G7</f>
        <v>1565813.1090729993</v>
      </c>
      <c r="H4" s="647">
        <f>F.G.P.INCREMENTO!H7</f>
        <v>1715190.3897551533</v>
      </c>
      <c r="I4" s="647">
        <f>F.G.P.INCREMENTO!I7</f>
        <v>1391017.5199410908</v>
      </c>
      <c r="J4" s="647">
        <f>F.G.P.INCREMENTO!J7</f>
        <v>1993344.9011645662</v>
      </c>
      <c r="K4" s="647">
        <f>F.G.P.INCREMENTO!K7</f>
        <v>1443104.3185156884</v>
      </c>
      <c r="L4" s="647">
        <f>F.G.P.INCREMENTO!L7</f>
        <v>1041254.3155592115</v>
      </c>
      <c r="M4" s="647">
        <f>F.G.P.INCREMENTO!M7</f>
        <v>1552980.1463990244</v>
      </c>
      <c r="N4" s="647">
        <f>F.G.P.INCREMENTO!N7</f>
        <v>1279375.0875999166</v>
      </c>
      <c r="O4" s="648">
        <f>SUM(C4:N4)</f>
        <v>21009243.323173054</v>
      </c>
      <c r="P4" s="649"/>
      <c r="Q4" s="649"/>
    </row>
    <row r="5" spans="1:17" x14ac:dyDescent="0.2">
      <c r="A5" s="645" t="s">
        <v>147</v>
      </c>
      <c r="B5" s="665"/>
      <c r="C5" s="647">
        <f>F.G.P.INCREMENTO!C8</f>
        <v>1272654.7841223977</v>
      </c>
      <c r="D5" s="647">
        <f>F.G.P.INCREMENTO!D8</f>
        <v>2480981.3086165874</v>
      </c>
      <c r="E5" s="647">
        <f>F.G.P.INCREMENTO!E8</f>
        <v>1118160.2738432349</v>
      </c>
      <c r="F5" s="647">
        <f>F.G.P.INCREMENTO!F8</f>
        <v>2556148.149132642</v>
      </c>
      <c r="G5" s="647">
        <f>F.G.P.INCREMENTO!G8</f>
        <v>1288419.4299644004</v>
      </c>
      <c r="H5" s="647">
        <f>F.G.P.INCREMENTO!H8</f>
        <v>1411333.5821776709</v>
      </c>
      <c r="I5" s="647">
        <f>F.G.P.INCREMENTO!I8</f>
        <v>1144589.9831391948</v>
      </c>
      <c r="J5" s="647">
        <f>F.G.P.INCREMENTO!J8</f>
        <v>1640211.2655713884</v>
      </c>
      <c r="K5" s="647">
        <f>F.G.P.INCREMENTO!K8</f>
        <v>1187449.2764605312</v>
      </c>
      <c r="L5" s="647">
        <f>F.G.P.INCREMENTO!L8</f>
        <v>856789.53888374055</v>
      </c>
      <c r="M5" s="647">
        <f>F.G.P.INCREMENTO!M8</f>
        <v>1277859.9076578424</v>
      </c>
      <c r="N5" s="647">
        <f>F.G.P.INCREMENTO!N8</f>
        <v>1052725.7126184215</v>
      </c>
      <c r="O5" s="648">
        <f t="shared" ref="O5:O23" si="0">SUM(C5:N5)</f>
        <v>17287323.21218805</v>
      </c>
      <c r="P5" s="649"/>
      <c r="Q5" s="649"/>
    </row>
    <row r="6" spans="1:17" x14ac:dyDescent="0.2">
      <c r="A6" s="645" t="s">
        <v>148</v>
      </c>
      <c r="B6" s="665"/>
      <c r="C6" s="647">
        <f>F.G.P.INCREMENTO!C9</f>
        <v>1229196.1584267672</v>
      </c>
      <c r="D6" s="647">
        <f>F.G.P.INCREMENTO!D9</f>
        <v>2396260.7391470163</v>
      </c>
      <c r="E6" s="647">
        <f>F.G.P.INCREMENTO!E9</f>
        <v>1079977.3279140398</v>
      </c>
      <c r="F6" s="647">
        <f>F.G.P.INCREMENTO!F9</f>
        <v>2468860.7817949723</v>
      </c>
      <c r="G6" s="647">
        <f>F.G.P.INCREMENTO!G9</f>
        <v>1244422.4730171068</v>
      </c>
      <c r="H6" s="647">
        <f>F.G.P.INCREMENTO!H9</f>
        <v>1363139.351782483</v>
      </c>
      <c r="I6" s="647">
        <f>F.G.P.INCREMENTO!I9</f>
        <v>1105504.5152866412</v>
      </c>
      <c r="J6" s="647">
        <f>F.G.P.INCREMENTO!J9</f>
        <v>1584201.3182223293</v>
      </c>
      <c r="K6" s="647">
        <f>F.G.P.INCREMENTO!K9</f>
        <v>1146900.2491185789</v>
      </c>
      <c r="L6" s="647">
        <f>F.G.P.INCREMENTO!L9</f>
        <v>827531.88289185509</v>
      </c>
      <c r="M6" s="647">
        <f>F.G.P.INCREMENTO!M9</f>
        <v>1234223.5373623027</v>
      </c>
      <c r="N6" s="647">
        <f>F.G.P.INCREMENTO!N9</f>
        <v>1016777.2266066406</v>
      </c>
      <c r="O6" s="648">
        <f t="shared" si="0"/>
        <v>16696995.56157073</v>
      </c>
      <c r="P6" s="649"/>
      <c r="Q6" s="649"/>
    </row>
    <row r="7" spans="1:17" x14ac:dyDescent="0.2">
      <c r="A7" s="645" t="s">
        <v>283</v>
      </c>
      <c r="B7" s="665"/>
      <c r="C7" s="647">
        <f>F.G.P.INCREMENTO!C10</f>
        <v>4483700.1010371381</v>
      </c>
      <c r="D7" s="647">
        <f>F.G.P.INCREMENTO!D10</f>
        <v>8740764.8035412524</v>
      </c>
      <c r="E7" s="647">
        <f>F.G.P.INCREMENTO!E10</f>
        <v>3939399.2741431855</v>
      </c>
      <c r="F7" s="647">
        <f>F.G.P.INCREMENTO!F10</f>
        <v>9005585.6918302029</v>
      </c>
      <c r="G7" s="647">
        <f>F.G.P.INCREMENTO!G10</f>
        <v>4539240.6490604142</v>
      </c>
      <c r="H7" s="647">
        <f>F.G.P.INCREMENTO!H10</f>
        <v>4972280.4675352825</v>
      </c>
      <c r="I7" s="647">
        <f>F.G.P.INCREMENTO!I10</f>
        <v>4032513.9912833846</v>
      </c>
      <c r="J7" s="647">
        <f>F.G.P.INCREMENTO!J10</f>
        <v>5778641.2379190754</v>
      </c>
      <c r="K7" s="647">
        <f>F.G.P.INCREMENTO!K10</f>
        <v>4183511.9054017621</v>
      </c>
      <c r="L7" s="647">
        <f>F.G.P.INCREMENTO!L10</f>
        <v>3018561.9776769923</v>
      </c>
      <c r="M7" s="647">
        <f>F.G.P.INCREMENTO!M10</f>
        <v>4502038.3127917722</v>
      </c>
      <c r="N7" s="647">
        <f>F.G.P.INCREMENTO!N10</f>
        <v>3708866.2557352656</v>
      </c>
      <c r="O7" s="648">
        <f t="shared" si="0"/>
        <v>60905104.667955726</v>
      </c>
      <c r="P7" s="649"/>
      <c r="Q7" s="649"/>
    </row>
    <row r="8" spans="1:17" x14ac:dyDescent="0.2">
      <c r="A8" s="645" t="s">
        <v>150</v>
      </c>
      <c r="B8" s="665"/>
      <c r="C8" s="647">
        <f>F.G.P.INCREMENTO!C11</f>
        <v>2076578.8959660081</v>
      </c>
      <c r="D8" s="647">
        <f>F.G.P.INCREMENTO!D11</f>
        <v>4048193.9729728359</v>
      </c>
      <c r="E8" s="647">
        <f>F.G.P.INCREMENTO!E11</f>
        <v>1824491.6500051599</v>
      </c>
      <c r="F8" s="647">
        <f>F.G.P.INCREMENTO!F11</f>
        <v>4170843.0028900248</v>
      </c>
      <c r="G8" s="647">
        <f>F.G.P.INCREMENTO!G11</f>
        <v>2102301.9209892126</v>
      </c>
      <c r="H8" s="647">
        <f>F.G.P.INCREMENTO!H11</f>
        <v>2302859.7923664385</v>
      </c>
      <c r="I8" s="647">
        <f>F.G.P.INCREMENTO!I11</f>
        <v>1867616.7592140597</v>
      </c>
      <c r="J8" s="647">
        <f>F.G.P.INCREMENTO!J11</f>
        <v>2676317.3654825687</v>
      </c>
      <c r="K8" s="647">
        <f>F.G.P.INCREMENTO!K11</f>
        <v>1937549.8668544614</v>
      </c>
      <c r="L8" s="647">
        <f>F.G.P.INCREMENTO!L11</f>
        <v>1398015.468866779</v>
      </c>
      <c r="M8" s="647">
        <f>F.G.P.INCREMENTO!M11</f>
        <v>2085072.0473055949</v>
      </c>
      <c r="N8" s="647">
        <f>F.G.P.INCREMENTO!N11</f>
        <v>1717722.6890885956</v>
      </c>
      <c r="O8" s="648">
        <f t="shared" si="0"/>
        <v>28207563.43200174</v>
      </c>
      <c r="P8" s="649"/>
      <c r="Q8" s="649"/>
    </row>
    <row r="9" spans="1:17" x14ac:dyDescent="0.2">
      <c r="A9" s="645" t="s">
        <v>284</v>
      </c>
      <c r="B9" s="665"/>
      <c r="C9" s="647">
        <f>F.G.P.INCREMENTO!C12</f>
        <v>1925236.0410001024</v>
      </c>
      <c r="D9" s="647">
        <f>F.G.P.INCREMENTO!D12</f>
        <v>3753158.1163937026</v>
      </c>
      <c r="E9" s="647">
        <f>F.G.P.INCREMENTO!E12</f>
        <v>1691521.1302191603</v>
      </c>
      <c r="F9" s="647">
        <f>F.G.P.INCREMENTO!F12</f>
        <v>3866868.3795813806</v>
      </c>
      <c r="G9" s="647">
        <f>F.G.P.INCREMENTO!G12</f>
        <v>1949084.3498480949</v>
      </c>
      <c r="H9" s="647">
        <f>F.G.P.INCREMENTO!H12</f>
        <v>2135025.3911597361</v>
      </c>
      <c r="I9" s="647">
        <f>F.G.P.INCREMENTO!I12</f>
        <v>1731503.2443985576</v>
      </c>
      <c r="J9" s="647">
        <f>F.G.P.INCREMENTO!J12</f>
        <v>2481265.0553229097</v>
      </c>
      <c r="K9" s="647">
        <f>F.G.P.INCREMENTO!K12</f>
        <v>1796339.5670396045</v>
      </c>
      <c r="L9" s="647">
        <f>F.G.P.INCREMENTO!L12</f>
        <v>1296126.8997612104</v>
      </c>
      <c r="M9" s="647">
        <f>F.G.P.INCREMENTO!M12</f>
        <v>1933110.2041693446</v>
      </c>
      <c r="N9" s="647">
        <f>F.G.P.INCREMENTO!N12</f>
        <v>1592533.5829528293</v>
      </c>
      <c r="O9" s="648">
        <f t="shared" si="0"/>
        <v>26151771.961846635</v>
      </c>
      <c r="P9" s="649"/>
      <c r="Q9" s="649"/>
    </row>
    <row r="10" spans="1:17" x14ac:dyDescent="0.2">
      <c r="A10" s="645" t="s">
        <v>152</v>
      </c>
      <c r="B10" s="665"/>
      <c r="C10" s="647">
        <f>F.G.P.INCREMENTO!C13</f>
        <v>1303635.186222573</v>
      </c>
      <c r="D10" s="647">
        <f>F.G.P.INCREMENTO!D13</f>
        <v>2541376.1615671967</v>
      </c>
      <c r="E10" s="647">
        <f>F.G.P.INCREMENTO!E13</f>
        <v>1145379.7958442413</v>
      </c>
      <c r="F10" s="647">
        <f>F.G.P.INCREMENTO!F13</f>
        <v>2618372.7983271657</v>
      </c>
      <c r="G10" s="647">
        <f>F.G.P.INCREMENTO!G13</f>
        <v>1319783.5929031358</v>
      </c>
      <c r="H10" s="647">
        <f>F.G.P.INCREMENTO!H13</f>
        <v>1445689.8604228327</v>
      </c>
      <c r="I10" s="647">
        <f>F.G.P.INCREMENTO!I13</f>
        <v>1172452.8870153136</v>
      </c>
      <c r="J10" s="647">
        <f>F.G.P.INCREMENTO!J13</f>
        <v>1680139.1432414353</v>
      </c>
      <c r="K10" s="647">
        <f>F.G.P.INCREMENTO!K13</f>
        <v>1216355.5097276128</v>
      </c>
      <c r="L10" s="647">
        <f>F.G.P.INCREMENTO!L13</f>
        <v>877646.47884970799</v>
      </c>
      <c r="M10" s="647">
        <f>F.G.P.INCREMENTO!M13</f>
        <v>1308967.0187620001</v>
      </c>
      <c r="N10" s="647">
        <f>F.G.P.INCREMENTO!N13</f>
        <v>1078352.3525250184</v>
      </c>
      <c r="O10" s="648">
        <f t="shared" si="0"/>
        <v>17708150.785408232</v>
      </c>
      <c r="P10" s="649"/>
      <c r="Q10" s="649"/>
    </row>
    <row r="11" spans="1:17" x14ac:dyDescent="0.2">
      <c r="A11" s="645" t="s">
        <v>153</v>
      </c>
      <c r="B11" s="665"/>
      <c r="C11" s="647">
        <f>F.G.P.INCREMENTO!C14</f>
        <v>1494239.868507172</v>
      </c>
      <c r="D11" s="647">
        <f>F.G.P.INCREMENTO!D14</f>
        <v>2912951.1243792744</v>
      </c>
      <c r="E11" s="647">
        <f>F.G.P.INCREMENTO!E14</f>
        <v>1312845.93544322</v>
      </c>
      <c r="F11" s="647">
        <f>F.G.P.INCREMENTO!F14</f>
        <v>3001205.4501320831</v>
      </c>
      <c r="G11" s="647">
        <f>F.G.P.INCREMENTO!G14</f>
        <v>1512749.3359793427</v>
      </c>
      <c r="H11" s="647">
        <f>F.G.P.INCREMENTO!H14</f>
        <v>1657064.376422521</v>
      </c>
      <c r="I11" s="647">
        <f>F.G.P.INCREMENTO!I14</f>
        <v>1343877.387047994</v>
      </c>
      <c r="J11" s="647">
        <f>F.G.P.INCREMENTO!J14</f>
        <v>1925792.5215607097</v>
      </c>
      <c r="K11" s="647">
        <f>F.G.P.INCREMENTO!K14</f>
        <v>1394199.0183464186</v>
      </c>
      <c r="L11" s="647">
        <f>F.G.P.INCREMENTO!L14</f>
        <v>1005967.2928529476</v>
      </c>
      <c r="M11" s="647">
        <f>F.G.P.INCREMENTO!M14</f>
        <v>1500351.2690253651</v>
      </c>
      <c r="N11" s="647">
        <f>F.G.P.INCREMENTO!N14</f>
        <v>1236018.4002936834</v>
      </c>
      <c r="O11" s="648">
        <f t="shared" si="0"/>
        <v>20297261.979990732</v>
      </c>
      <c r="P11" s="649"/>
      <c r="Q11" s="649"/>
    </row>
    <row r="12" spans="1:17" x14ac:dyDescent="0.2">
      <c r="A12" s="645" t="s">
        <v>154</v>
      </c>
      <c r="B12" s="665"/>
      <c r="C12" s="647">
        <f>F.G.P.INCREMENTO!C15</f>
        <v>1242502.3228869685</v>
      </c>
      <c r="D12" s="647">
        <f>F.G.P.INCREMENTO!D15</f>
        <v>2422200.4878730644</v>
      </c>
      <c r="E12" s="647">
        <f>F.G.P.INCREMENTO!E15</f>
        <v>1091668.184446577</v>
      </c>
      <c r="F12" s="647">
        <f>F.G.P.INCREMENTO!F15</f>
        <v>2495586.4328366672</v>
      </c>
      <c r="G12" s="647">
        <f>F.G.P.INCREMENTO!G15</f>
        <v>1257893.4637702256</v>
      </c>
      <c r="H12" s="647">
        <f>F.G.P.INCREMENTO!H15</f>
        <v>1377895.463955991</v>
      </c>
      <c r="I12" s="647">
        <f>F.G.P.INCREMENTO!I15</f>
        <v>1117471.7060324426</v>
      </c>
      <c r="J12" s="647">
        <f>F.G.P.INCREMENTO!J15</f>
        <v>1601350.4470524371</v>
      </c>
      <c r="K12" s="647">
        <f>F.G.P.INCREMENTO!K15</f>
        <v>1159315.5525911751</v>
      </c>
      <c r="L12" s="647">
        <f>F.G.P.INCREMENTO!L15</f>
        <v>836489.99364930531</v>
      </c>
      <c r="M12" s="647">
        <f>F.G.P.INCREMENTO!M15</f>
        <v>1247584.1236741033</v>
      </c>
      <c r="N12" s="647">
        <f>F.G.P.INCREMENTO!N15</f>
        <v>1027783.9360759672</v>
      </c>
      <c r="O12" s="648">
        <f t="shared" si="0"/>
        <v>16877742.114844926</v>
      </c>
      <c r="P12" s="649"/>
      <c r="Q12" s="649"/>
    </row>
    <row r="13" spans="1:17" x14ac:dyDescent="0.2">
      <c r="A13" s="645" t="s">
        <v>155</v>
      </c>
      <c r="B13" s="665"/>
      <c r="C13" s="647">
        <f>F.G.P.INCREMENTO!C16</f>
        <v>1317893.1810139285</v>
      </c>
      <c r="D13" s="647">
        <f>F.G.P.INCREMENTO!D16</f>
        <v>2569171.4592528129</v>
      </c>
      <c r="E13" s="647">
        <f>F.G.P.INCREMENTO!E16</f>
        <v>1157906.93482903</v>
      </c>
      <c r="F13" s="647">
        <f>F.G.P.INCREMENTO!F16</f>
        <v>2647010.2163064633</v>
      </c>
      <c r="G13" s="647">
        <f>F.G.P.INCREMENTO!G16</f>
        <v>1334218.2045124273</v>
      </c>
      <c r="H13" s="647">
        <f>F.G.P.INCREMENTO!H16</f>
        <v>1461501.522088357</v>
      </c>
      <c r="I13" s="647">
        <f>F.G.P.INCREMENTO!I16</f>
        <v>1185276.1272383803</v>
      </c>
      <c r="J13" s="647">
        <f>F.G.P.INCREMENTO!J16</f>
        <v>1698515.0013083706</v>
      </c>
      <c r="K13" s="647">
        <f>F.G.P.INCREMENTO!K16</f>
        <v>1229658.9175409486</v>
      </c>
      <c r="L13" s="647">
        <f>F.G.P.INCREMENTO!L16</f>
        <v>887245.39045959618</v>
      </c>
      <c r="M13" s="647">
        <f>F.G.P.INCREMENTO!M16</f>
        <v>1323283.3283651825</v>
      </c>
      <c r="N13" s="647">
        <f>F.G.P.INCREMENTO!N16</f>
        <v>1090146.4053306186</v>
      </c>
      <c r="O13" s="648">
        <f t="shared" si="0"/>
        <v>17901826.688246112</v>
      </c>
      <c r="P13" s="649"/>
      <c r="Q13" s="649"/>
    </row>
    <row r="14" spans="1:17" x14ac:dyDescent="0.2">
      <c r="A14" s="645" t="s">
        <v>156</v>
      </c>
      <c r="B14" s="665"/>
      <c r="C14" s="647">
        <f>F.G.P.INCREMENTO!C17</f>
        <v>1499561.2029369026</v>
      </c>
      <c r="D14" s="647">
        <f>F.G.P.INCREMENTO!D17</f>
        <v>2923324.8183470098</v>
      </c>
      <c r="E14" s="647">
        <f>F.G.P.INCREMENTO!E17</f>
        <v>1317521.2840431645</v>
      </c>
      <c r="F14" s="647">
        <f>F.G.P.INCREMENTO!F17</f>
        <v>3011893.4382048678</v>
      </c>
      <c r="G14" s="647">
        <f>F.G.P.INCREMENTO!G17</f>
        <v>1518136.5869119135</v>
      </c>
      <c r="H14" s="647">
        <f>F.G.P.INCREMENTO!H17</f>
        <v>1662965.5666560188</v>
      </c>
      <c r="I14" s="647">
        <f>F.G.P.INCREMENTO!I17</f>
        <v>1348663.2458379748</v>
      </c>
      <c r="J14" s="647">
        <f>F.G.P.INCREMENTO!J17</f>
        <v>1932650.7149910172</v>
      </c>
      <c r="K14" s="647">
        <f>F.G.P.INCREMENTO!K17</f>
        <v>1399164.0841264101</v>
      </c>
      <c r="L14" s="647">
        <f>F.G.P.INCREMENTO!L17</f>
        <v>1009549.775494098</v>
      </c>
      <c r="M14" s="647">
        <f>F.G.P.INCREMENTO!M17</f>
        <v>1505694.3675685269</v>
      </c>
      <c r="N14" s="647">
        <f>F.G.P.INCREMENTO!N17</f>
        <v>1240420.14823783</v>
      </c>
      <c r="O14" s="648">
        <f t="shared" si="0"/>
        <v>20369545.233355731</v>
      </c>
      <c r="P14" s="649"/>
      <c r="Q14" s="649"/>
    </row>
    <row r="15" spans="1:17" x14ac:dyDescent="0.2">
      <c r="A15" s="645" t="s">
        <v>157</v>
      </c>
      <c r="B15" s="665"/>
      <c r="C15" s="647">
        <f>F.G.P.INCREMENTO!C18</f>
        <v>1359800.5771155851</v>
      </c>
      <c r="D15" s="647">
        <f>F.G.P.INCREMENTO!D18</f>
        <v>2650867.9787788824</v>
      </c>
      <c r="E15" s="647">
        <f>F.G.P.INCREMENTO!E18</f>
        <v>1194726.963391134</v>
      </c>
      <c r="F15" s="647">
        <f>F.G.P.INCREMENTO!F18</f>
        <v>2731181.9133893354</v>
      </c>
      <c r="G15" s="647">
        <f>F.G.P.INCREMENTO!G18</f>
        <v>1376644.7164544088</v>
      </c>
      <c r="H15" s="647">
        <f>F.G.P.INCREMENTO!H18</f>
        <v>1507975.4883184647</v>
      </c>
      <c r="I15" s="647">
        <f>F.G.P.INCREMENTO!I18</f>
        <v>1222966.4627447836</v>
      </c>
      <c r="J15" s="647">
        <f>F.G.P.INCREMENTO!J18</f>
        <v>1752525.7071606254</v>
      </c>
      <c r="K15" s="647">
        <f>F.G.P.INCREMENTO!K18</f>
        <v>1268760.5716580725</v>
      </c>
      <c r="L15" s="647">
        <f>F.G.P.INCREMENTO!L18</f>
        <v>915458.71195865201</v>
      </c>
      <c r="M15" s="647">
        <f>F.G.P.INCREMENTO!M18</f>
        <v>1365362.1245797991</v>
      </c>
      <c r="N15" s="647">
        <f>F.G.P.INCREMENTO!N18</f>
        <v>1124811.7316826673</v>
      </c>
      <c r="O15" s="648">
        <f t="shared" si="0"/>
        <v>18471082.94723241</v>
      </c>
      <c r="P15" s="649"/>
      <c r="Q15" s="649"/>
    </row>
    <row r="16" spans="1:17" x14ac:dyDescent="0.2">
      <c r="A16" s="645" t="s">
        <v>158</v>
      </c>
      <c r="B16" s="665"/>
      <c r="C16" s="647">
        <f>F.G.P.INCREMENTO!C19</f>
        <v>1646525.4388063196</v>
      </c>
      <c r="D16" s="647">
        <f>F.G.P.INCREMENTO!D19</f>
        <v>3209824.7606534977</v>
      </c>
      <c r="E16" s="647">
        <f>F.G.P.INCREMENTO!E19</f>
        <v>1446644.7292029045</v>
      </c>
      <c r="F16" s="647">
        <f>F.G.P.INCREMENTO!F19</f>
        <v>3307073.5327545092</v>
      </c>
      <c r="G16" s="647">
        <f>F.G.P.INCREMENTO!G19</f>
        <v>1666921.3000693009</v>
      </c>
      <c r="H16" s="647">
        <f>F.G.P.INCREMENTO!H19</f>
        <v>1825944.2188791498</v>
      </c>
      <c r="I16" s="647">
        <f>F.G.P.INCREMENTO!I19</f>
        <v>1480838.7535675419</v>
      </c>
      <c r="J16" s="647">
        <f>F.G.P.INCREMENTO!J19</f>
        <v>2122059.8134491933</v>
      </c>
      <c r="K16" s="647">
        <f>F.G.P.INCREMENTO!K19</f>
        <v>1536288.9177623084</v>
      </c>
      <c r="L16" s="647">
        <f>F.G.P.INCREMENTO!L19</f>
        <v>1108490.5263197741</v>
      </c>
      <c r="M16" s="647">
        <f>F.G.P.INCREMENTO!M19</f>
        <v>1653259.6831749913</v>
      </c>
      <c r="N16" s="647">
        <f>F.G.P.INCREMENTO!N19</f>
        <v>1361987.3099420476</v>
      </c>
      <c r="O16" s="648">
        <f t="shared" si="0"/>
        <v>22365858.984581541</v>
      </c>
      <c r="P16" s="649"/>
      <c r="Q16" s="649"/>
    </row>
    <row r="17" spans="1:20" x14ac:dyDescent="0.2">
      <c r="A17" s="645" t="s">
        <v>285</v>
      </c>
      <c r="B17" s="665"/>
      <c r="C17" s="647">
        <f>F.G.P.INCREMENTO!C20</f>
        <v>1105874.5553014707</v>
      </c>
      <c r="D17" s="647">
        <f>F.G.P.INCREMENTO!D20</f>
        <v>2155851.0097218622</v>
      </c>
      <c r="E17" s="647">
        <f>F.G.P.INCREMENTO!E20</f>
        <v>971626.40727026353</v>
      </c>
      <c r="F17" s="647">
        <f>F.G.P.INCREMENTO!F20</f>
        <v>2221167.3055203576</v>
      </c>
      <c r="G17" s="647">
        <f>F.G.P.INCREMENTO!G20</f>
        <v>1119573.2589306973</v>
      </c>
      <c r="H17" s="647">
        <f>F.G.P.INCREMENTO!H20</f>
        <v>1226379.6255235367</v>
      </c>
      <c r="I17" s="647">
        <f>F.G.P.INCREMENTO!I20</f>
        <v>994592.52768175583</v>
      </c>
      <c r="J17" s="647">
        <f>F.G.P.INCREMENTO!J20</f>
        <v>1425263.1008376994</v>
      </c>
      <c r="K17" s="647">
        <f>F.G.P.INCREMENTO!K20</f>
        <v>1031835.1503737788</v>
      </c>
      <c r="L17" s="647">
        <f>F.G.P.INCREMENTO!L20</f>
        <v>744508.06465430511</v>
      </c>
      <c r="M17" s="647">
        <f>F.G.P.INCREMENTO!M20</f>
        <v>1110397.5522263744</v>
      </c>
      <c r="N17" s="647">
        <f>F.G.P.INCREMENTO!N20</f>
        <v>914766.98459050106</v>
      </c>
      <c r="O17" s="648">
        <f t="shared" si="0"/>
        <v>15021835.542632604</v>
      </c>
      <c r="P17" s="649"/>
      <c r="Q17" s="649"/>
    </row>
    <row r="18" spans="1:20" x14ac:dyDescent="0.2">
      <c r="A18" s="645" t="s">
        <v>286</v>
      </c>
      <c r="B18" s="665"/>
      <c r="C18" s="647">
        <f>F.G.P.INCREMENTO!C21</f>
        <v>1462903.9832958721</v>
      </c>
      <c r="D18" s="647">
        <f>F.G.P.INCREMENTO!D21</f>
        <v>2851863.2736375667</v>
      </c>
      <c r="E18" s="647">
        <f>F.G.P.INCREMENTO!E21</f>
        <v>1285314.0843661434</v>
      </c>
      <c r="F18" s="647">
        <f>F.G.P.INCREMENTO!F21</f>
        <v>2938266.8072388093</v>
      </c>
      <c r="G18" s="647">
        <f>F.G.P.INCREMENTO!G21</f>
        <v>1481025.2864844806</v>
      </c>
      <c r="H18" s="647">
        <f>F.G.P.INCREMENTO!H21</f>
        <v>1622313.8787402539</v>
      </c>
      <c r="I18" s="647">
        <f>F.G.P.INCREMENTO!I21</f>
        <v>1315694.7716418949</v>
      </c>
      <c r="J18" s="647">
        <f>F.G.P.INCREMENTO!J21</f>
        <v>1885406.4934080178</v>
      </c>
      <c r="K18" s="647">
        <f>F.G.P.INCREMENTO!K21</f>
        <v>1364961.1019172065</v>
      </c>
      <c r="L18" s="647">
        <f>F.G.P.INCREMENTO!L21</f>
        <v>984871.03094778594</v>
      </c>
      <c r="M18" s="647">
        <f>F.G.P.INCREMENTO!M21</f>
        <v>1468887.2208938044</v>
      </c>
      <c r="N18" s="647">
        <f>F.G.P.INCREMENTO!N21</f>
        <v>1210097.7087588282</v>
      </c>
      <c r="O18" s="648">
        <f t="shared" si="0"/>
        <v>19871605.641330663</v>
      </c>
      <c r="P18" s="649"/>
      <c r="Q18" s="649"/>
    </row>
    <row r="19" spans="1:20" x14ac:dyDescent="0.2">
      <c r="A19" s="645" t="s">
        <v>287</v>
      </c>
      <c r="B19" s="665"/>
      <c r="C19" s="647">
        <f>F.G.P.INCREMENTO!C22</f>
        <v>2615399.6241022958</v>
      </c>
      <c r="D19" s="647">
        <f>F.G.P.INCREMENTO!D22</f>
        <v>5098599.9211366568</v>
      </c>
      <c r="E19" s="647">
        <f>F.G.P.INCREMENTO!E22</f>
        <v>2297901.9891182519</v>
      </c>
      <c r="F19" s="647">
        <f>F.G.P.INCREMENTO!F22</f>
        <v>5253073.3328452474</v>
      </c>
      <c r="G19" s="647">
        <f>F.G.P.INCREMENTO!G22</f>
        <v>2647797.1362349456</v>
      </c>
      <c r="H19" s="647">
        <f>F.G.P.INCREMENTO!H22</f>
        <v>2900394.8017653669</v>
      </c>
      <c r="I19" s="647">
        <f>F.G.P.INCREMENTO!I22</f>
        <v>2352216.994742855</v>
      </c>
      <c r="J19" s="647">
        <f>F.G.P.INCREMENTO!J22</f>
        <v>3370755.3540388746</v>
      </c>
      <c r="K19" s="647">
        <f>F.G.P.INCREMENTO!K22</f>
        <v>2440296.0096024992</v>
      </c>
      <c r="L19" s="647">
        <f>F.G.P.INCREMENTO!L22</f>
        <v>1760765.8148054397</v>
      </c>
      <c r="M19" s="647">
        <f>F.G.P.INCREMENTO!M22</f>
        <v>2626096.5375998523</v>
      </c>
      <c r="N19" s="647">
        <f>F.G.P.INCREMENTO!N22</f>
        <v>2163429.1305192173</v>
      </c>
      <c r="O19" s="648">
        <f t="shared" si="0"/>
        <v>35526726.64651151</v>
      </c>
      <c r="P19" s="649"/>
      <c r="Q19" s="649"/>
    </row>
    <row r="20" spans="1:20" x14ac:dyDescent="0.2">
      <c r="A20" s="645" t="s">
        <v>162</v>
      </c>
      <c r="B20" s="665"/>
      <c r="C20" s="647">
        <f>F.G.P.INCREMENTO!C23</f>
        <v>1618504.1894437557</v>
      </c>
      <c r="D20" s="647">
        <f>F.G.P.INCREMENTO!D23</f>
        <v>3155198.6383303534</v>
      </c>
      <c r="E20" s="647">
        <f>F.G.P.INCREMENTO!E23</f>
        <v>1422025.1322379035</v>
      </c>
      <c r="F20" s="647">
        <f>F.G.P.INCREMENTO!F23</f>
        <v>3250792.3906976758</v>
      </c>
      <c r="G20" s="647">
        <f>F.G.P.INCREMENTO!G23</f>
        <v>1638552.9455233344</v>
      </c>
      <c r="H20" s="647">
        <f>F.G.P.INCREMENTO!H23</f>
        <v>1794869.5466794679</v>
      </c>
      <c r="I20" s="647">
        <f>F.G.P.INCREMENTO!I23</f>
        <v>1455637.2285856102</v>
      </c>
      <c r="J20" s="647">
        <f>F.G.P.INCREMENTO!J23</f>
        <v>2085945.7238678967</v>
      </c>
      <c r="K20" s="647">
        <f>F.G.P.INCREMENTO!K23</f>
        <v>1510143.7190043896</v>
      </c>
      <c r="L20" s="647">
        <f>F.G.P.INCREMENTO!L23</f>
        <v>1089625.7771200507</v>
      </c>
      <c r="M20" s="647">
        <f>F.G.P.INCREMENTO!M23</f>
        <v>1625123.8276628503</v>
      </c>
      <c r="N20" s="647">
        <f>F.G.P.INCREMENTO!N23</f>
        <v>1338808.4478722326</v>
      </c>
      <c r="O20" s="648">
        <f t="shared" si="0"/>
        <v>21985227.567025524</v>
      </c>
      <c r="P20" s="649"/>
      <c r="Q20" s="649"/>
    </row>
    <row r="21" spans="1:20" x14ac:dyDescent="0.2">
      <c r="A21" s="645" t="s">
        <v>163</v>
      </c>
      <c r="B21" s="665"/>
      <c r="C21" s="647">
        <f>F.G.P.INCREMENTO!C24</f>
        <v>9325539.3857832458</v>
      </c>
      <c r="D21" s="647">
        <f>F.G.P.INCREMENTO!D24</f>
        <v>18179705.288147405</v>
      </c>
      <c r="E21" s="647">
        <f>F.G.P.INCREMENTO!E24</f>
        <v>8193461.2617936814</v>
      </c>
      <c r="F21" s="647">
        <f>F.G.P.INCREMENTO!F24</f>
        <v>18730499.848056857</v>
      </c>
      <c r="G21" s="647">
        <f>F.G.P.INCREMENTO!G24</f>
        <v>9441056.8281695563</v>
      </c>
      <c r="H21" s="647">
        <f>F.G.P.INCREMENTO!H24</f>
        <v>10341725.871994697</v>
      </c>
      <c r="I21" s="647">
        <f>F.G.P.INCREMENTO!I24</f>
        <v>8387128.3096602699</v>
      </c>
      <c r="J21" s="647">
        <f>F.G.P.INCREMENTO!J24</f>
        <v>12018856.133589393</v>
      </c>
      <c r="K21" s="647">
        <f>F.G.P.INCREMENTO!K24</f>
        <v>8701185.2188091055</v>
      </c>
      <c r="L21" s="647">
        <f>F.G.P.INCREMENTO!L24</f>
        <v>6278234.0426254561</v>
      </c>
      <c r="M21" s="647">
        <f>F.G.P.INCREMENTO!M24</f>
        <v>9363680.5888363048</v>
      </c>
      <c r="N21" s="647">
        <f>F.G.P.INCREMENTO!N24</f>
        <v>7713981.2130747084</v>
      </c>
      <c r="O21" s="648">
        <f t="shared" si="0"/>
        <v>126675053.99054068</v>
      </c>
      <c r="P21" s="649"/>
      <c r="Q21" s="649"/>
      <c r="T21" s="649"/>
    </row>
    <row r="22" spans="1:20" x14ac:dyDescent="0.2">
      <c r="A22" s="645" t="s">
        <v>164</v>
      </c>
      <c r="B22" s="665"/>
      <c r="C22" s="647">
        <f>F.G.P.INCREMENTO!C25</f>
        <v>1597224.774010343</v>
      </c>
      <c r="D22" s="647">
        <f>F.G.P.INCREMENTO!D25</f>
        <v>3113715.4076795601</v>
      </c>
      <c r="E22" s="647">
        <f>F.G.P.INCREMENTO!E25</f>
        <v>1403328.9411850749</v>
      </c>
      <c r="F22" s="647">
        <f>F.G.P.INCREMENTO!F25</f>
        <v>3208052.33341478</v>
      </c>
      <c r="G22" s="647">
        <f>F.G.P.INCREMENTO!G25</f>
        <v>1617009.9374391746</v>
      </c>
      <c r="H22" s="647">
        <f>F.G.P.INCREMENTO!H25</f>
        <v>1771271.3533712996</v>
      </c>
      <c r="I22" s="647">
        <f>F.G.P.INCREMENTO!I25</f>
        <v>1436499.119763006</v>
      </c>
      <c r="J22" s="647">
        <f>F.G.P.INCREMENTO!J25</f>
        <v>2058520.5828523575</v>
      </c>
      <c r="K22" s="647">
        <f>F.G.P.INCREMENTO!K25</f>
        <v>1490288.9816670108</v>
      </c>
      <c r="L22" s="647">
        <f>F.G.P.INCREMENTO!L25</f>
        <v>1075299.8336164621</v>
      </c>
      <c r="M22" s="647">
        <f>F.G.P.INCREMENTO!M25</f>
        <v>1603757.3799977005</v>
      </c>
      <c r="N22" s="647">
        <f>F.G.P.INCREMENTO!N25</f>
        <v>1321206.3549435595</v>
      </c>
      <c r="O22" s="648">
        <f t="shared" si="0"/>
        <v>21696174.999940328</v>
      </c>
      <c r="P22" s="649"/>
      <c r="Q22" s="649"/>
      <c r="T22" s="649"/>
    </row>
    <row r="23" spans="1:20" ht="13.5" thickBot="1" x14ac:dyDescent="0.25">
      <c r="A23" s="645" t="s">
        <v>165</v>
      </c>
      <c r="B23" s="665"/>
      <c r="C23" s="647">
        <f>F.G.P.INCREMENTO!C26</f>
        <v>2032037.491371138</v>
      </c>
      <c r="D23" s="647">
        <f>F.G.P.INCREMENTO!D26</f>
        <v>3961362.576400823</v>
      </c>
      <c r="E23" s="647">
        <f>F.G.P.INCREMENTO!E26</f>
        <v>1785357.3696170133</v>
      </c>
      <c r="F23" s="647">
        <f>F.G.P.INCREMENTO!F26</f>
        <v>4081380.8562534116</v>
      </c>
      <c r="G23" s="647">
        <f>F.G.P.INCREMENTO!G26</f>
        <v>2057208.7725298605</v>
      </c>
      <c r="H23" s="647">
        <f>F.G.P.INCREMENTO!H26</f>
        <v>2253464.7946919892</v>
      </c>
      <c r="I23" s="647">
        <f>F.G.P.INCREMENTO!I26</f>
        <v>1827557.4704184777</v>
      </c>
      <c r="J23" s="647">
        <f>F.G.P.INCREMENTO!J26</f>
        <v>2618911.9209642755</v>
      </c>
      <c r="K23" s="647">
        <f>F.G.P.INCREMENTO!K26</f>
        <v>1895990.5537409792</v>
      </c>
      <c r="L23" s="647">
        <f>F.G.P.INCREMENTO!L26</f>
        <v>1368028.8535016475</v>
      </c>
      <c r="M23" s="647">
        <f>F.G.P.INCREMENTO!M26</f>
        <v>2040348.4695744975</v>
      </c>
      <c r="N23" s="647">
        <f>F.G.P.INCREMENTO!N26</f>
        <v>1680878.5405589575</v>
      </c>
      <c r="O23" s="648">
        <f t="shared" si="0"/>
        <v>27602527.669623069</v>
      </c>
      <c r="P23" s="649"/>
      <c r="Q23" s="649"/>
      <c r="T23" s="649"/>
    </row>
    <row r="24" spans="1:20" ht="13.5" thickBot="1" x14ac:dyDescent="0.25">
      <c r="A24" s="650" t="s">
        <v>288</v>
      </c>
      <c r="B24" s="666">
        <f>SUM(B4:B23)</f>
        <v>0</v>
      </c>
      <c r="C24" s="652">
        <f>SUM(C4:C23)</f>
        <v>42155662.133333787</v>
      </c>
      <c r="D24" s="652">
        <f t="shared" ref="D24:N24" si="1">SUM(D4:D23)</f>
        <v>82180502.607609302</v>
      </c>
      <c r="E24" s="652">
        <f t="shared" si="1"/>
        <v>37038156.225182593</v>
      </c>
      <c r="F24" s="652">
        <f t="shared" si="1"/>
        <v>84670343.507087871</v>
      </c>
      <c r="G24" s="652">
        <f t="shared" si="1"/>
        <v>42677853.297865033</v>
      </c>
      <c r="H24" s="652">
        <f t="shared" si="1"/>
        <v>46749285.34428671</v>
      </c>
      <c r="I24" s="652">
        <f t="shared" si="1"/>
        <v>37913619.00524123</v>
      </c>
      <c r="J24" s="652">
        <f t="shared" si="1"/>
        <v>54330673.802005142</v>
      </c>
      <c r="K24" s="652">
        <f t="shared" si="1"/>
        <v>39333298.490258545</v>
      </c>
      <c r="L24" s="652">
        <f t="shared" si="1"/>
        <v>28380461.670495018</v>
      </c>
      <c r="M24" s="652">
        <f t="shared" si="1"/>
        <v>42328077.647627234</v>
      </c>
      <c r="N24" s="652">
        <f t="shared" si="1"/>
        <v>34870689.219007507</v>
      </c>
      <c r="O24" s="652">
        <f>SUM(C24:N24)</f>
        <v>572628622.94999993</v>
      </c>
      <c r="P24" s="649"/>
      <c r="Q24" s="649"/>
      <c r="T24" s="649"/>
    </row>
    <row r="25" spans="1:20" x14ac:dyDescent="0.2">
      <c r="A25" s="653"/>
      <c r="B25" s="653"/>
      <c r="C25" s="653"/>
      <c r="D25" s="653"/>
      <c r="E25" s="653"/>
      <c r="F25" s="653"/>
      <c r="G25" s="653"/>
      <c r="H25" s="653"/>
      <c r="I25" s="653"/>
      <c r="J25" s="653"/>
      <c r="K25" s="653"/>
      <c r="L25" s="653"/>
      <c r="M25" s="653"/>
      <c r="N25" s="653"/>
      <c r="O25" s="653"/>
      <c r="T25" s="649"/>
    </row>
    <row r="26" spans="1:20" x14ac:dyDescent="0.2">
      <c r="A26" s="654" t="s">
        <v>289</v>
      </c>
    </row>
  </sheetData>
  <mergeCells count="1">
    <mergeCell ref="A1:O1"/>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theme="5" tint="0.59999389629810485"/>
  </sheetPr>
  <dimension ref="A1:O29"/>
  <sheetViews>
    <sheetView workbookViewId="0">
      <selection activeCell="D4" sqref="D4"/>
    </sheetView>
  </sheetViews>
  <sheetFormatPr baseColWidth="10" defaultRowHeight="12.75" x14ac:dyDescent="0.2"/>
  <cols>
    <col min="1" max="1" width="16" style="640" customWidth="1"/>
    <col min="2" max="2" width="9.28515625" style="640" hidden="1" customWidth="1"/>
    <col min="3" max="10" width="8.7109375" style="640" bestFit="1" customWidth="1"/>
    <col min="11" max="11" width="9.7109375" style="640" bestFit="1" customWidth="1"/>
    <col min="12" max="12" width="8.7109375" style="640" bestFit="1" customWidth="1"/>
    <col min="13" max="13" width="9.42578125" style="640" bestFit="1" customWidth="1"/>
    <col min="14" max="14" width="8.7109375" style="640" bestFit="1" customWidth="1"/>
    <col min="15" max="15" width="13.7109375" style="640" bestFit="1" customWidth="1"/>
    <col min="16" max="16384" width="11.42578125" style="640"/>
  </cols>
  <sheetData>
    <row r="1" spans="1:15" x14ac:dyDescent="0.2">
      <c r="A1" s="1237" t="s">
        <v>385</v>
      </c>
      <c r="B1" s="1237"/>
      <c r="C1" s="1237"/>
      <c r="D1" s="1237"/>
      <c r="E1" s="1237"/>
      <c r="F1" s="1237"/>
      <c r="G1" s="1237"/>
      <c r="H1" s="1237"/>
      <c r="I1" s="1237"/>
      <c r="J1" s="1237"/>
      <c r="K1" s="1237"/>
      <c r="L1" s="1237"/>
      <c r="M1" s="1237"/>
      <c r="N1" s="1237"/>
      <c r="O1" s="1237"/>
    </row>
    <row r="2" spans="1:15" ht="13.5" thickBot="1" x14ac:dyDescent="0.25"/>
    <row r="3" spans="1:15" ht="23.25" thickBot="1" x14ac:dyDescent="0.25">
      <c r="A3" s="641" t="s">
        <v>346</v>
      </c>
      <c r="B3" s="642" t="s">
        <v>281</v>
      </c>
      <c r="C3" s="641" t="s">
        <v>1</v>
      </c>
      <c r="D3" s="643" t="s">
        <v>2</v>
      </c>
      <c r="E3" s="641" t="s">
        <v>3</v>
      </c>
      <c r="F3" s="643" t="s">
        <v>4</v>
      </c>
      <c r="G3" s="641" t="s">
        <v>5</v>
      </c>
      <c r="H3" s="641" t="s">
        <v>6</v>
      </c>
      <c r="I3" s="641" t="s">
        <v>7</v>
      </c>
      <c r="J3" s="643" t="s">
        <v>8</v>
      </c>
      <c r="K3" s="641" t="s">
        <v>9</v>
      </c>
      <c r="L3" s="643" t="s">
        <v>10</v>
      </c>
      <c r="M3" s="641" t="s">
        <v>11</v>
      </c>
      <c r="N3" s="641" t="s">
        <v>12</v>
      </c>
      <c r="O3" s="644" t="s">
        <v>168</v>
      </c>
    </row>
    <row r="4" spans="1:15" ht="12.75" customHeight="1" x14ac:dyDescent="0.2">
      <c r="A4" s="645" t="s">
        <v>282</v>
      </c>
      <c r="B4" s="665"/>
      <c r="C4" s="647">
        <f>'F.F.M30%'!C7+'F.F.M.70%'!C7+'F.F.M.ESTIIMACIONES 2014'!C7</f>
        <v>1381876.409212888</v>
      </c>
      <c r="D4" s="647">
        <f>'F.F.M30%'!D7+'F.F.M.70%'!D7+'F.F.M.ESTIIMACIONES 2014'!D7</f>
        <v>1785091.9662245172</v>
      </c>
      <c r="E4" s="647">
        <f>'F.F.M30%'!E7+'F.F.M.70%'!E7+'F.F.M.ESTIIMACIONES 2014'!E7</f>
        <v>1326458.2890333377</v>
      </c>
      <c r="F4" s="647">
        <f>'F.F.M30%'!F7+'F.F.M.70%'!F7+'F.F.M.ESTIIMACIONES 2014'!F7</f>
        <v>1699298.1797947297</v>
      </c>
      <c r="G4" s="647">
        <f>'F.F.M30%'!G7+'F.F.M.70%'!G7+'F.F.M.ESTIIMACIONES 2014'!G7</f>
        <v>1281846.1026691862</v>
      </c>
      <c r="H4" s="647">
        <f>'F.F.M30%'!H7+'F.F.M.70%'!H7+'F.F.M.ESTIIMACIONES 2014'!H7</f>
        <v>1335268.7421789756</v>
      </c>
      <c r="I4" s="647">
        <f>'F.F.M30%'!I7+'F.F.M.70%'!I7+'F.F.M.ESTIIMACIONES 2014'!I7</f>
        <v>1464299.5510006496</v>
      </c>
      <c r="J4" s="647">
        <f>'F.F.M30%'!J7+'F.F.M.70%'!J7+'F.F.M.ESTIIMACIONES 2014'!J7</f>
        <v>1376392.6840629717</v>
      </c>
      <c r="K4" s="647">
        <f>'F.F.M30%'!K7+'F.F.M.70%'!K7+'F.F.M.ESTIIMACIONES 2014'!K7</f>
        <v>1420584.3916345623</v>
      </c>
      <c r="L4" s="647">
        <f>'F.F.M30%'!L7+'F.F.M.70%'!L7+'F.F.M.ESTIIMACIONES 2014'!L7</f>
        <v>1425725.1129594496</v>
      </c>
      <c r="M4" s="647">
        <f>'F.F.M30%'!M7+'F.F.M.70%'!M7+'F.F.M.ESTIIMACIONES 2014'!M7</f>
        <v>1311467.8819656372</v>
      </c>
      <c r="N4" s="647">
        <f>'F.F.M30%'!N7+'F.F.M.70%'!N7+'F.F.M.ESTIIMACIONES 2014'!N7</f>
        <v>1403035.8698992247</v>
      </c>
      <c r="O4" s="648">
        <f t="shared" ref="O4:O24" si="0">SUM(C4:N4)</f>
        <v>17211345.18063613</v>
      </c>
    </row>
    <row r="5" spans="1:15" ht="12.75" customHeight="1" x14ac:dyDescent="0.2">
      <c r="A5" s="645" t="s">
        <v>147</v>
      </c>
      <c r="B5" s="665"/>
      <c r="C5" s="647">
        <f>'F.F.M30%'!C8+'F.F.M.70%'!C8+'F.F.M.ESTIIMACIONES 2014'!C8</f>
        <v>917790.35039023613</v>
      </c>
      <c r="D5" s="647">
        <f>'F.F.M30%'!D8+'F.F.M.70%'!D8+'F.F.M.ESTIIMACIONES 2014'!D8</f>
        <v>1141331.808143368</v>
      </c>
      <c r="E5" s="647">
        <f>'F.F.M30%'!E8+'F.F.M.70%'!E8+'F.F.M.ESTIIMACIONES 2014'!E8</f>
        <v>886148.68173249427</v>
      </c>
      <c r="F5" s="647">
        <f>'F.F.M30%'!F8+'F.F.M.70%'!F8+'F.F.M.ESTIIMACIONES 2014'!F8</f>
        <v>1079055.6775902854</v>
      </c>
      <c r="G5" s="647">
        <f>'F.F.M30%'!G8+'F.F.M.70%'!G8+'F.F.M.ESTIIMACIONES 2014'!G8</f>
        <v>845914.79648642952</v>
      </c>
      <c r="H5" s="647">
        <f>'F.F.M30%'!H8+'F.F.M.70%'!H8+'F.F.M.ESTIIMACIONES 2014'!H8</f>
        <v>889851.74233642977</v>
      </c>
      <c r="I5" s="647">
        <f>'F.F.M30%'!I8+'F.F.M.70%'!I8+'F.F.M.ESTIIMACIONES 2014'!I8</f>
        <v>982793.16636806726</v>
      </c>
      <c r="J5" s="647">
        <f>'F.F.M30%'!J8+'F.F.M.70%'!J8+'F.F.M.ESTIIMACIONES 2014'!J8</f>
        <v>895490.44406787993</v>
      </c>
      <c r="K5" s="647">
        <f>'F.F.M30%'!K8+'F.F.M.70%'!K8+'F.F.M.ESTIIMACIONES 2014'!K8</f>
        <v>949579.95285169897</v>
      </c>
      <c r="L5" s="647">
        <f>'F.F.M30%'!L8+'F.F.M.70%'!L8+'F.F.M.ESTIIMACIONES 2014'!L8</f>
        <v>950997.40734134789</v>
      </c>
      <c r="M5" s="647">
        <f>'F.F.M30%'!M8+'F.F.M.70%'!M8+'F.F.M.ESTIIMACIONES 2014'!M8</f>
        <v>867507.32226784131</v>
      </c>
      <c r="N5" s="647">
        <f>'F.F.M30%'!N8+'F.F.M.70%'!N8+'F.F.M.ESTIIMACIONES 2014'!N8</f>
        <v>943859.39059572411</v>
      </c>
      <c r="O5" s="648">
        <f t="shared" si="0"/>
        <v>11350320.740171803</v>
      </c>
    </row>
    <row r="6" spans="1:15" ht="12.75" customHeight="1" x14ac:dyDescent="0.2">
      <c r="A6" s="645" t="s">
        <v>148</v>
      </c>
      <c r="B6" s="665"/>
      <c r="C6" s="647">
        <f>'F.F.M30%'!C9+'F.F.M.70%'!C9+'F.F.M.ESTIIMACIONES 2014'!C9</f>
        <v>856731.557956042</v>
      </c>
      <c r="D6" s="647">
        <f>'F.F.M30%'!D9+'F.F.M.70%'!D9+'F.F.M.ESTIIMACIONES 2014'!D9</f>
        <v>1049023.0825264845</v>
      </c>
      <c r="E6" s="647">
        <f>'F.F.M30%'!E9+'F.F.M.70%'!E9+'F.F.M.ESTIIMACIONES 2014'!E9</f>
        <v>829106.24884075706</v>
      </c>
      <c r="F6" s="647">
        <f>'F.F.M30%'!F9+'F.F.M.70%'!F9+'F.F.M.ESTIIMACIONES 2014'!F9</f>
        <v>988930.5933521525</v>
      </c>
      <c r="G6" s="647">
        <f>'F.F.M30%'!G9+'F.F.M.70%'!G9+'F.F.M.ESTIIMACIONES 2014'!G9</f>
        <v>787624.96590877755</v>
      </c>
      <c r="H6" s="647">
        <f>'F.F.M30%'!H9+'F.F.M.70%'!H9+'F.F.M.ESTIIMACIONES 2014'!H9</f>
        <v>831767.89271604584</v>
      </c>
      <c r="I6" s="647">
        <f>'F.F.M30%'!I9+'F.F.M.70%'!I9+'F.F.M.ESTIIMACIONES 2014'!I9</f>
        <v>921206.76246449165</v>
      </c>
      <c r="J6" s="647">
        <f>'F.F.M30%'!J9+'F.F.M.70%'!J9+'F.F.M.ESTIIMACIONES 2014'!J9</f>
        <v>829010.86889018689</v>
      </c>
      <c r="K6" s="647">
        <f>'F.F.M30%'!K9+'F.F.M.70%'!K9+'F.F.M.ESTIIMACIONES 2014'!K9</f>
        <v>888656.62251958461</v>
      </c>
      <c r="L6" s="647">
        <f>'F.F.M30%'!L9+'F.F.M.70%'!L9+'F.F.M.ESTIIMACIONES 2014'!L9</f>
        <v>889240.85091510753</v>
      </c>
      <c r="M6" s="647">
        <f>'F.F.M30%'!M9+'F.F.M.70%'!M9+'F.F.M.ESTIIMACIONES 2014'!M9</f>
        <v>808491.05767054285</v>
      </c>
      <c r="N6" s="647">
        <f>'F.F.M30%'!N9+'F.F.M.70%'!N9+'F.F.M.ESTIIMACIONES 2014'!N9</f>
        <v>885512.70985181478</v>
      </c>
      <c r="O6" s="648">
        <f t="shared" si="0"/>
        <v>10565303.213611986</v>
      </c>
    </row>
    <row r="7" spans="1:15" ht="12.75" customHeight="1" x14ac:dyDescent="0.2">
      <c r="A7" s="645" t="s">
        <v>283</v>
      </c>
      <c r="B7" s="665"/>
      <c r="C7" s="647">
        <f>'F.F.M30%'!C10+'F.F.M.70%'!C10+'F.F.M.ESTIIMACIONES 2014'!C10</f>
        <v>2262878.3616834888</v>
      </c>
      <c r="D7" s="647">
        <f>'F.F.M30%'!D10+'F.F.M.70%'!D10+'F.F.M.ESTIIMACIONES 2014'!D10</f>
        <v>5022521.034206613</v>
      </c>
      <c r="E7" s="647">
        <f>'F.F.M30%'!E10+'F.F.M.70%'!E10+'F.F.M.ESTIIMACIONES 2014'!E10</f>
        <v>1927137.3413213212</v>
      </c>
      <c r="F7" s="647">
        <f>'F.F.M30%'!F10+'F.F.M.70%'!F10+'F.F.M.ESTIIMACIONES 2014'!F10</f>
        <v>5133195.8184813485</v>
      </c>
      <c r="G7" s="647">
        <f>'F.F.M30%'!G10+'F.F.M.70%'!G10+'F.F.M.ESTIIMACIONES 2014'!G10</f>
        <v>2357073.6167981206</v>
      </c>
      <c r="H7" s="647">
        <f>'F.F.M30%'!H10+'F.F.M.70%'!H10+'F.F.M.ESTIIMACIONES 2014'!H10</f>
        <v>2043475.9409811795</v>
      </c>
      <c r="I7" s="647">
        <f>'F.F.M30%'!I10+'F.F.M.70%'!I10+'F.F.M.ESTIIMACIONES 2014'!I10</f>
        <v>1911161.1475110119</v>
      </c>
      <c r="J7" s="647">
        <f>'F.F.M30%'!J10+'F.F.M.70%'!J10+'F.F.M.ESTIIMACIONES 2014'!J10</f>
        <v>3138901.9781974079</v>
      </c>
      <c r="K7" s="647">
        <f>'F.F.M30%'!K10+'F.F.M.70%'!K10+'F.F.M.ESTIIMACIONES 2014'!K10</f>
        <v>2037811.6586063807</v>
      </c>
      <c r="L7" s="647">
        <f>'F.F.M30%'!L10+'F.F.M.70%'!L10+'F.F.M.ESTIIMACIONES 2014'!L10</f>
        <v>2140945.6719454397</v>
      </c>
      <c r="M7" s="647">
        <f>'F.F.M30%'!M10+'F.F.M.70%'!M10+'F.F.M.ESTIIMACIONES 2014'!M10</f>
        <v>2314562.7680252781</v>
      </c>
      <c r="N7" s="647">
        <f>'F.F.M30%'!N10+'F.F.M.70%'!N10+'F.F.M.ESTIIMACIONES 2014'!N10</f>
        <v>1727581.6100972972</v>
      </c>
      <c r="O7" s="648">
        <f t="shared" si="0"/>
        <v>32017246.947854884</v>
      </c>
    </row>
    <row r="8" spans="1:15" ht="12.75" customHeight="1" x14ac:dyDescent="0.2">
      <c r="A8" s="645" t="s">
        <v>150</v>
      </c>
      <c r="B8" s="665"/>
      <c r="C8" s="647">
        <f>'F.F.M30%'!C11+'F.F.M.70%'!C11+'F.F.M.ESTIIMACIONES 2014'!C11</f>
        <v>1886209.0921371896</v>
      </c>
      <c r="D8" s="647">
        <f>'F.F.M30%'!D11+'F.F.M.70%'!D11+'F.F.M.ESTIIMACIONES 2014'!D11</f>
        <v>2639364.1790303057</v>
      </c>
      <c r="E8" s="647">
        <f>'F.F.M30%'!E11+'F.F.M.70%'!E11+'F.F.M.ESTIIMACIONES 2014'!E11</f>
        <v>1786901.2669565938</v>
      </c>
      <c r="F8" s="647">
        <f>'F.F.M30%'!F11+'F.F.M.70%'!F11+'F.F.M.ESTIIMACIONES 2014'!F11</f>
        <v>2546519.4403191442</v>
      </c>
      <c r="G8" s="647">
        <f>'F.F.M30%'!G11+'F.F.M.70%'!G11+'F.F.M.ESTIIMACIONES 2014'!G11</f>
        <v>1774592.086693102</v>
      </c>
      <c r="H8" s="647">
        <f>'F.F.M30%'!H11+'F.F.M.70%'!H11+'F.F.M.ESTIIMACIONES 2014'!H11</f>
        <v>1808770.9834896633</v>
      </c>
      <c r="I8" s="647">
        <f>'F.F.M30%'!I11+'F.F.M.70%'!I11+'F.F.M.ESTIIMACIONES 2014'!I11</f>
        <v>1951703.4471927062</v>
      </c>
      <c r="J8" s="647">
        <f>'F.F.M30%'!J11+'F.F.M.70%'!J11+'F.F.M.ESTIIMACIONES 2014'!J11</f>
        <v>1964208.1036177608</v>
      </c>
      <c r="K8" s="647">
        <f>'F.F.M30%'!K11+'F.F.M.70%'!K11+'F.F.M.ESTIIMACIONES 2014'!K11</f>
        <v>1911181.8667211835</v>
      </c>
      <c r="L8" s="647">
        <f>'F.F.M30%'!L11+'F.F.M.70%'!L11+'F.F.M.ESTIIMACIONES 2014'!L11</f>
        <v>1927347.5354603229</v>
      </c>
      <c r="M8" s="647">
        <f>'F.F.M30%'!M11+'F.F.M.70%'!M11+'F.F.M.ESTIIMACIONES 2014'!M11</f>
        <v>1806233.1307166929</v>
      </c>
      <c r="N8" s="647">
        <f>'F.F.M30%'!N11+'F.F.M.70%'!N11+'F.F.M.ESTIIMACIONES 2014'!N11</f>
        <v>1860038.8160242348</v>
      </c>
      <c r="O8" s="648">
        <f t="shared" si="0"/>
        <v>23863069.948358901</v>
      </c>
    </row>
    <row r="9" spans="1:15" ht="12.75" customHeight="1" x14ac:dyDescent="0.2">
      <c r="A9" s="645" t="s">
        <v>284</v>
      </c>
      <c r="B9" s="665"/>
      <c r="C9" s="647">
        <f>'F.F.M30%'!C12+'F.F.M.70%'!C12+'F.F.M.ESTIIMACIONES 2014'!C12</f>
        <v>623276.99601600051</v>
      </c>
      <c r="D9" s="647">
        <f>'F.F.M30%'!D12+'F.F.M.70%'!D12+'F.F.M.ESTIIMACIONES 2014'!D12</f>
        <v>894528.02102448861</v>
      </c>
      <c r="E9" s="647">
        <f>'F.F.M30%'!E12+'F.F.M.70%'!E12+'F.F.M.ESTIIMACIONES 2014'!E12</f>
        <v>587850.20451275038</v>
      </c>
      <c r="F9" s="647">
        <f>'F.F.M30%'!F12+'F.F.M.70%'!F12+'F.F.M.ESTIIMACIONES 2014'!F12</f>
        <v>866525.93109165039</v>
      </c>
      <c r="G9" s="647">
        <f>'F.F.M30%'!G12+'F.F.M.70%'!G12+'F.F.M.ESTIIMACIONES 2014'!G12</f>
        <v>589144.6611548115</v>
      </c>
      <c r="H9" s="647">
        <f>'F.F.M30%'!H12+'F.F.M.70%'!H12+'F.F.M.ESTIIMACIONES 2014'!H12</f>
        <v>596163.18593210191</v>
      </c>
      <c r="I9" s="647">
        <f>'F.F.M30%'!I12+'F.F.M.70%'!I12+'F.F.M.ESTIIMACIONES 2014'!I12</f>
        <v>639730.7746214522</v>
      </c>
      <c r="J9" s="647">
        <f>'F.F.M30%'!J12+'F.F.M.70%'!J12+'F.F.M.ESTIIMACIONES 2014'!J12</f>
        <v>658485.06437984807</v>
      </c>
      <c r="K9" s="647">
        <f>'F.F.M30%'!K12+'F.F.M.70%'!K12+'F.F.M.ESTIIMACIONES 2014'!K12</f>
        <v>628454.06343914394</v>
      </c>
      <c r="L9" s="647">
        <f>'F.F.M30%'!L12+'F.F.M.70%'!L12+'F.F.M.ESTIIMACIONES 2014'!L12</f>
        <v>634805.50362038601</v>
      </c>
      <c r="M9" s="647">
        <f>'F.F.M30%'!M12+'F.F.M.70%'!M12+'F.F.M.ESTIIMACIONES 2014'!M12</f>
        <v>598629.84460358962</v>
      </c>
      <c r="N9" s="647">
        <f>'F.F.M30%'!N12+'F.F.M.70%'!N12+'F.F.M.ESTIIMACIONES 2014'!N12</f>
        <v>608553.67824262555</v>
      </c>
      <c r="O9" s="648">
        <f t="shared" si="0"/>
        <v>7926147.9286388485</v>
      </c>
    </row>
    <row r="10" spans="1:15" ht="12.75" customHeight="1" x14ac:dyDescent="0.2">
      <c r="A10" s="645" t="s">
        <v>152</v>
      </c>
      <c r="B10" s="665"/>
      <c r="C10" s="647">
        <f>'F.F.M30%'!C13+'F.F.M.70%'!C13+'F.F.M.ESTIIMACIONES 2014'!C13</f>
        <v>569569.02570096345</v>
      </c>
      <c r="D10" s="647">
        <f>'F.F.M30%'!D13+'F.F.M.70%'!D13+'F.F.M.ESTIIMACIONES 2014'!D13</f>
        <v>710215.39963639411</v>
      </c>
      <c r="E10" s="647">
        <f>'F.F.M30%'!E13+'F.F.M.70%'!E13+'F.F.M.ESTIIMACIONES 2014'!E13</f>
        <v>549708.61938220484</v>
      </c>
      <c r="F10" s="647">
        <f>'F.F.M30%'!F13+'F.F.M.70%'!F13+'F.F.M.ESTIIMACIONES 2014'!F13</f>
        <v>671797.25820047292</v>
      </c>
      <c r="G10" s="647">
        <f>'F.F.M30%'!G13+'F.F.M.70%'!G13+'F.F.M.ESTIIMACIONES 2014'!G13</f>
        <v>525199.85168557265</v>
      </c>
      <c r="H10" s="647">
        <f>'F.F.M30%'!H13+'F.F.M.70%'!H13+'F.F.M.ESTIIMACIONES 2014'!H13</f>
        <v>552099.86620017875</v>
      </c>
      <c r="I10" s="647">
        <f>'F.F.M30%'!I13+'F.F.M.70%'!I13+'F.F.M.ESTIIMACIONES 2014'!I13</f>
        <v>609463.98152759997</v>
      </c>
      <c r="J10" s="647">
        <f>'F.F.M30%'!J13+'F.F.M.70%'!J13+'F.F.M.ESTIIMACIONES 2014'!J13</f>
        <v>556539.12102170079</v>
      </c>
      <c r="K10" s="647">
        <f>'F.F.M30%'!K13+'F.F.M.70%'!K13+'F.F.M.ESTIIMACIONES 2014'!K13</f>
        <v>589033.5248392669</v>
      </c>
      <c r="L10" s="647">
        <f>'F.F.M30%'!L13+'F.F.M.70%'!L13+'F.F.M.ESTIIMACIONES 2014'!L13</f>
        <v>589999.77513753949</v>
      </c>
      <c r="M10" s="647">
        <f>'F.F.M30%'!M13+'F.F.M.70%'!M13+'F.F.M.ESTIIMACIONES 2014'!M13</f>
        <v>538516.68380125728</v>
      </c>
      <c r="N10" s="647">
        <f>'F.F.M30%'!N13+'F.F.M.70%'!N13+'F.F.M.ESTIIMACIONES 2014'!N13</f>
        <v>585226.05490568664</v>
      </c>
      <c r="O10" s="648">
        <f t="shared" si="0"/>
        <v>7047369.1620388376</v>
      </c>
    </row>
    <row r="11" spans="1:15" ht="12.75" customHeight="1" x14ac:dyDescent="0.2">
      <c r="A11" s="645" t="s">
        <v>153</v>
      </c>
      <c r="B11" s="665"/>
      <c r="C11" s="647">
        <f>'F.F.M30%'!C14+'F.F.M.70%'!C14+'F.F.M.ESTIIMACIONES 2014'!C14</f>
        <v>1212055.8839563432</v>
      </c>
      <c r="D11" s="647">
        <f>'F.F.M30%'!D14+'F.F.M.70%'!D14+'F.F.M.ESTIIMACIONES 2014'!D14</f>
        <v>1575909.6640128517</v>
      </c>
      <c r="E11" s="647">
        <f>'F.F.M30%'!E14+'F.F.M.70%'!E14+'F.F.M.ESTIIMACIONES 2014'!E14</f>
        <v>1162259.0245594704</v>
      </c>
      <c r="F11" s="647">
        <f>'F.F.M30%'!F14+'F.F.M.70%'!F14+'F.F.M.ESTIIMACIONES 2014'!F14</f>
        <v>1501878.2923139415</v>
      </c>
      <c r="G11" s="647">
        <f>'F.F.M30%'!G14+'F.F.M.70%'!G14+'F.F.M.ESTIIMACIONES 2014'!G14</f>
        <v>1125570.7036904944</v>
      </c>
      <c r="H11" s="647">
        <f>'F.F.M30%'!H14+'F.F.M.70%'!H14+'F.F.M.ESTIIMACIONES 2014'!H14</f>
        <v>1170481.4068066149</v>
      </c>
      <c r="I11" s="647">
        <f>'F.F.M30%'!I14+'F.F.M.70%'!I14+'F.F.M.ESTIIMACIONES 2014'!I14</f>
        <v>1281987.6517076169</v>
      </c>
      <c r="J11" s="647">
        <f>'F.F.M30%'!J14+'F.F.M.70%'!J14+'F.F.M.ESTIIMACIONES 2014'!J14</f>
        <v>1211541.6947863444</v>
      </c>
      <c r="K11" s="647">
        <f>'F.F.M30%'!K14+'F.F.M.70%'!K14+'F.F.M.ESTIIMACIONES 2014'!K14</f>
        <v>1244606.9012606763</v>
      </c>
      <c r="L11" s="647">
        <f>'F.F.M30%'!L14+'F.F.M.70%'!L14+'F.F.M.ESTIIMACIONES 2014'!L14</f>
        <v>1249575.6052812662</v>
      </c>
      <c r="M11" s="647">
        <f>'F.F.M30%'!M14+'F.F.M.70%'!M14+'F.F.M.ESTIIMACIONES 2014'!M14</f>
        <v>1151110.4431704911</v>
      </c>
      <c r="N11" s="647">
        <f>'F.F.M30%'!N14+'F.F.M.70%'!N14+'F.F.M.ESTIIMACIONES 2014'!N14</f>
        <v>1227848.62415139</v>
      </c>
      <c r="O11" s="648">
        <f t="shared" si="0"/>
        <v>15114825.895697501</v>
      </c>
    </row>
    <row r="12" spans="1:15" ht="12.75" customHeight="1" x14ac:dyDescent="0.2">
      <c r="A12" s="645" t="s">
        <v>154</v>
      </c>
      <c r="B12" s="665"/>
      <c r="C12" s="647">
        <f>'F.F.M30%'!C15+'F.F.M.70%'!C15+'F.F.M.ESTIIMACIONES 2014'!C15</f>
        <v>1042068.5026204209</v>
      </c>
      <c r="D12" s="647">
        <f>'F.F.M30%'!D15+'F.F.M.70%'!D15+'F.F.M.ESTIIMACIONES 2014'!D15</f>
        <v>1292151.6309835885</v>
      </c>
      <c r="E12" s="647">
        <f>'F.F.M30%'!E15+'F.F.M.70%'!E15+'F.F.M.ESTIIMACIONES 2014'!E15</f>
        <v>1006577.294598227</v>
      </c>
      <c r="F12" s="647">
        <f>'F.F.M30%'!F15+'F.F.M.70%'!F15+'F.F.M.ESTIIMACIONES 2014'!F15</f>
        <v>1220996.6502150344</v>
      </c>
      <c r="G12" s="647">
        <f>'F.F.M30%'!G15+'F.F.M.70%'!G15+'F.F.M.ESTIIMACIONES 2014'!G15</f>
        <v>960002.10401016683</v>
      </c>
      <c r="H12" s="647">
        <f>'F.F.M30%'!H15+'F.F.M.70%'!H15+'F.F.M.ESTIIMACIONES 2014'!H15</f>
        <v>1010600.8100018388</v>
      </c>
      <c r="I12" s="647">
        <f>'F.F.M30%'!I15+'F.F.M.70%'!I15+'F.F.M.ESTIIMACIONES 2014'!I15</f>
        <v>1116737.6393685222</v>
      </c>
      <c r="J12" s="647">
        <f>'F.F.M30%'!J15+'F.F.M.70%'!J15+'F.F.M.ESTIIMACIONES 2014'!J15</f>
        <v>1015177.3425223236</v>
      </c>
      <c r="K12" s="647">
        <f>'F.F.M30%'!K15+'F.F.M.70%'!K15+'F.F.M.ESTIIMACIONES 2014'!K15</f>
        <v>1078674.9847491006</v>
      </c>
      <c r="L12" s="647">
        <f>'F.F.M30%'!L15+'F.F.M.70%'!L15+'F.F.M.ESTIIMACIONES 2014'!L15</f>
        <v>1080116.1772906517</v>
      </c>
      <c r="M12" s="647">
        <f>'F.F.M30%'!M15+'F.F.M.70%'!M15+'F.F.M.ESTIIMACIONES 2014'!M15</f>
        <v>984680.10986852332</v>
      </c>
      <c r="N12" s="647">
        <f>'F.F.M30%'!N15+'F.F.M.70%'!N15+'F.F.M.ESTIIMACIONES 2014'!N15</f>
        <v>1072679.6862389022</v>
      </c>
      <c r="O12" s="648">
        <f t="shared" si="0"/>
        <v>12880462.9324673</v>
      </c>
    </row>
    <row r="13" spans="1:15" ht="12.75" customHeight="1" x14ac:dyDescent="0.2">
      <c r="A13" s="645" t="s">
        <v>155</v>
      </c>
      <c r="B13" s="665"/>
      <c r="C13" s="647">
        <f>'F.F.M30%'!C16+'F.F.M.70%'!C16+'F.F.M.ESTIIMACIONES 2014'!C16</f>
        <v>593719.74092214683</v>
      </c>
      <c r="D13" s="647">
        <f>'F.F.M30%'!D16+'F.F.M.70%'!D16+'F.F.M.ESTIIMACIONES 2014'!D16</f>
        <v>736878.73667745048</v>
      </c>
      <c r="E13" s="647">
        <f>'F.F.M30%'!E16+'F.F.M.70%'!E16+'F.F.M.ESTIIMACIONES 2014'!E16</f>
        <v>573419.94767715666</v>
      </c>
      <c r="F13" s="647">
        <f>'F.F.M30%'!F16+'F.F.M.70%'!F16+'F.F.M.ESTIIMACIONES 2014'!F16</f>
        <v>696418.7215540047</v>
      </c>
      <c r="G13" s="647">
        <f>'F.F.M30%'!G16+'F.F.M.70%'!G16+'F.F.M.ESTIIMACIONES 2014'!G16</f>
        <v>547045.12613156333</v>
      </c>
      <c r="H13" s="647">
        <f>'F.F.M30%'!H16+'F.F.M.70%'!H16+'F.F.M.ESTIIMACIONES 2014'!H16</f>
        <v>575745.06119186641</v>
      </c>
      <c r="I13" s="647">
        <f>'F.F.M30%'!I16+'F.F.M.70%'!I16+'F.F.M.ESTIIMACIONES 2014'!I16</f>
        <v>636106.35352296475</v>
      </c>
      <c r="J13" s="647">
        <f>'F.F.M30%'!J16+'F.F.M.70%'!J16+'F.F.M.ESTIIMACIONES 2014'!J16</f>
        <v>578682.53526987752</v>
      </c>
      <c r="K13" s="647">
        <f>'F.F.M30%'!K16+'F.F.M.70%'!K16+'F.F.M.ESTIIMACIONES 2014'!K16</f>
        <v>614483.74057395034</v>
      </c>
      <c r="L13" s="647">
        <f>'F.F.M30%'!L16+'F.F.M.70%'!L16+'F.F.M.ESTIIMACIONES 2014'!L16</f>
        <v>615335.26313871599</v>
      </c>
      <c r="M13" s="647">
        <f>'F.F.M30%'!M16+'F.F.M.70%'!M16+'F.F.M.ESTIIMACIONES 2014'!M16</f>
        <v>561076.23424221261</v>
      </c>
      <c r="N13" s="647">
        <f>'F.F.M30%'!N16+'F.F.M.70%'!N16+'F.F.M.ESTIIMACIONES 2014'!N16</f>
        <v>610977.55982563342</v>
      </c>
      <c r="O13" s="648">
        <f t="shared" si="0"/>
        <v>7339889.0207275441</v>
      </c>
    </row>
    <row r="14" spans="1:15" ht="12.75" customHeight="1" x14ac:dyDescent="0.2">
      <c r="A14" s="645" t="s">
        <v>156</v>
      </c>
      <c r="B14" s="665"/>
      <c r="C14" s="647">
        <f>'F.F.M30%'!C17+'F.F.M.70%'!C17+'F.F.M.ESTIIMACIONES 2014'!C17</f>
        <v>1486354.1566749134</v>
      </c>
      <c r="D14" s="647">
        <f>'F.F.M30%'!D17+'F.F.M.70%'!D17+'F.F.M.ESTIIMACIONES 2014'!D17</f>
        <v>2629533.944770704</v>
      </c>
      <c r="E14" s="647">
        <f>'F.F.M30%'!E17+'F.F.M.70%'!E17+'F.F.M.ESTIIMACIONES 2014'!E17</f>
        <v>1343951.2172382767</v>
      </c>
      <c r="F14" s="647">
        <f>'F.F.M30%'!F17+'F.F.M.70%'!F17+'F.F.M.ESTIIMACIONES 2014'!F17</f>
        <v>2622135.039337608</v>
      </c>
      <c r="G14" s="647">
        <f>'F.F.M30%'!G17+'F.F.M.70%'!G17+'F.F.M.ESTIIMACIONES 2014'!G17</f>
        <v>1465951.6978271587</v>
      </c>
      <c r="H14" s="647">
        <f>'F.F.M30%'!H17+'F.F.M.70%'!H17+'F.F.M.ESTIIMACIONES 2014'!H17</f>
        <v>1387868.6469434972</v>
      </c>
      <c r="I14" s="647">
        <f>'F.F.M30%'!I17+'F.F.M.70%'!I17+'F.F.M.ESTIIMACIONES 2014'!I17</f>
        <v>1410532.6476823508</v>
      </c>
      <c r="J14" s="647">
        <f>'F.F.M30%'!J17+'F.F.M.70%'!J17+'F.F.M.ESTIIMACIONES 2014'!J17</f>
        <v>1779542.6601941031</v>
      </c>
      <c r="K14" s="647">
        <f>'F.F.M30%'!K17+'F.F.M.70%'!K17+'F.F.M.ESTIIMACIONES 2014'!K17</f>
        <v>1430506.159046184</v>
      </c>
      <c r="L14" s="647">
        <f>'F.F.M30%'!L17+'F.F.M.70%'!L17+'F.F.M.ESTIIMACIONES 2014'!L17</f>
        <v>1468044.7693568519</v>
      </c>
      <c r="M14" s="647">
        <f>'F.F.M30%'!M17+'F.F.M.70%'!M17+'F.F.M.ESTIIMACIONES 2014'!M17</f>
        <v>1467053.6270734766</v>
      </c>
      <c r="N14" s="647">
        <f>'F.F.M30%'!N17+'F.F.M.70%'!N17+'F.F.M.ESTIIMACIONES 2014'!N17</f>
        <v>1316500.1206012345</v>
      </c>
      <c r="O14" s="648">
        <f t="shared" si="0"/>
        <v>19807974.686746359</v>
      </c>
    </row>
    <row r="15" spans="1:15" ht="12.75" customHeight="1" x14ac:dyDescent="0.2">
      <c r="A15" s="645" t="s">
        <v>157</v>
      </c>
      <c r="B15" s="665"/>
      <c r="C15" s="647">
        <f>'F.F.M30%'!C18+'F.F.M.70%'!C18+'F.F.M.ESTIIMACIONES 2014'!C18</f>
        <v>1233605.298491342</v>
      </c>
      <c r="D15" s="647">
        <f>'F.F.M30%'!D18+'F.F.M.70%'!D18+'F.F.M.ESTIIMACIONES 2014'!D18</f>
        <v>1527291.7175962271</v>
      </c>
      <c r="E15" s="647">
        <f>'F.F.M30%'!E18+'F.F.M.70%'!E18+'F.F.M.ESTIIMACIONES 2014'!E18</f>
        <v>1191866.4183078976</v>
      </c>
      <c r="F15" s="647">
        <f>'F.F.M30%'!F18+'F.F.M.70%'!F18+'F.F.M.ESTIIMACIONES 2014'!F18</f>
        <v>1442775.4186390992</v>
      </c>
      <c r="G15" s="647">
        <f>'F.F.M30%'!G18+'F.F.M.70%'!G18+'F.F.M.ESTIIMACIONES 2014'!G18</f>
        <v>1136164.3230868368</v>
      </c>
      <c r="H15" s="647">
        <f>'F.F.M30%'!H18+'F.F.M.70%'!H18+'F.F.M.ESTIIMACIONES 2014'!H18</f>
        <v>1196514.7598979371</v>
      </c>
      <c r="I15" s="647">
        <f>'F.F.M30%'!I18+'F.F.M.70%'!I18+'F.F.M.ESTIIMACIONES 2014'!I18</f>
        <v>1322546.7812793651</v>
      </c>
      <c r="J15" s="647">
        <f>'F.F.M30%'!J18+'F.F.M.70%'!J18+'F.F.M.ESTIIMACIONES 2014'!J18</f>
        <v>1200775.24222467</v>
      </c>
      <c r="K15" s="647">
        <f>'F.F.M30%'!K18+'F.F.M.70%'!K18+'F.F.M.ESTIIMACIONES 2014'!K18</f>
        <v>1277264.9032839225</v>
      </c>
      <c r="L15" s="647">
        <f>'F.F.M30%'!L18+'F.F.M.70%'!L18+'F.F.M.ESTIIMACIONES 2014'!L18</f>
        <v>1278864.3788150293</v>
      </c>
      <c r="M15" s="647">
        <f>'F.F.M30%'!M18+'F.F.M.70%'!M18+'F.F.M.ESTIIMACIONES 2014'!M18</f>
        <v>1165480.7072966783</v>
      </c>
      <c r="N15" s="647">
        <f>'F.F.M30%'!N18+'F.F.M.70%'!N18+'F.F.M.ESTIIMACIONES 2014'!N18</f>
        <v>1270484.4987229535</v>
      </c>
      <c r="O15" s="648">
        <f t="shared" si="0"/>
        <v>15243634.447641959</v>
      </c>
    </row>
    <row r="16" spans="1:15" ht="12.75" customHeight="1" x14ac:dyDescent="0.2">
      <c r="A16" s="645" t="s">
        <v>158</v>
      </c>
      <c r="B16" s="665"/>
      <c r="C16" s="647">
        <f>'F.F.M30%'!C19+'F.F.M.70%'!C19+'F.F.M.ESTIIMACIONES 2014'!C19</f>
        <v>1751998.3409348114</v>
      </c>
      <c r="D16" s="647">
        <f>'F.F.M30%'!D19+'F.F.M.70%'!D19+'F.F.M.ESTIIMACIONES 2014'!D19</f>
        <v>2195596.5962843942</v>
      </c>
      <c r="E16" s="647">
        <f>'F.F.M30%'!E19+'F.F.M.70%'!E19+'F.F.M.ESTIIMACIONES 2014'!E19</f>
        <v>1689627.5266130387</v>
      </c>
      <c r="F16" s="647">
        <f>'F.F.M30%'!F19+'F.F.M.70%'!F19+'F.F.M.ESTIIMACIONES 2014'!F19</f>
        <v>2078734.4451045322</v>
      </c>
      <c r="G16" s="647">
        <f>'F.F.M30%'!G19+'F.F.M.70%'!G19+'F.F.M.ESTIIMACIONES 2014'!G19</f>
        <v>1616866.4753290575</v>
      </c>
      <c r="H16" s="647">
        <f>'F.F.M30%'!H19+'F.F.M.70%'!H19+'F.F.M.ESTIIMACIONES 2014'!H19</f>
        <v>1697515.4973476743</v>
      </c>
      <c r="I16" s="647">
        <f>'F.F.M30%'!I19+'F.F.M.70%'!I19+'F.F.M.ESTIIMACIONES 2014'!I19</f>
        <v>1872172.5927818471</v>
      </c>
      <c r="J16" s="647">
        <f>'F.F.M30%'!J19+'F.F.M.70%'!J19+'F.F.M.ESTIIMACIONES 2014'!J19</f>
        <v>1716542.3445224576</v>
      </c>
      <c r="K16" s="647">
        <f>'F.F.M30%'!K19+'F.F.M.70%'!K19+'F.F.M.ESTIIMACIONES 2014'!K19</f>
        <v>1810364.1326039955</v>
      </c>
      <c r="L16" s="647">
        <f>'F.F.M30%'!L19+'F.F.M.70%'!L19+'F.F.M.ESTIIMACIONES 2014'!L19</f>
        <v>1813831.2092909934</v>
      </c>
      <c r="M16" s="647">
        <f>'F.F.M30%'!M19+'F.F.M.70%'!M19+'F.F.M.ESTIIMACIONES 2014'!M19</f>
        <v>1657353.5835757491</v>
      </c>
      <c r="N16" s="647">
        <f>'F.F.M30%'!N19+'F.F.M.70%'!N19+'F.F.M.ESTIIMACIONES 2014'!N19</f>
        <v>1797181.5432754112</v>
      </c>
      <c r="O16" s="648">
        <f t="shared" si="0"/>
        <v>21697784.287663963</v>
      </c>
    </row>
    <row r="17" spans="1:15" ht="12.75" customHeight="1" x14ac:dyDescent="0.2">
      <c r="A17" s="645" t="s">
        <v>285</v>
      </c>
      <c r="B17" s="665"/>
      <c r="C17" s="647">
        <f>'F.F.M30%'!C20+'F.F.M.70%'!C20+'F.F.M.ESTIIMACIONES 2014'!C20</f>
        <v>774227.05307697214</v>
      </c>
      <c r="D17" s="647">
        <f>'F.F.M30%'!D20+'F.F.M.70%'!D20+'F.F.M.ESTIIMACIONES 2014'!D20</f>
        <v>931583.30396873539</v>
      </c>
      <c r="E17" s="647">
        <f>'F.F.M30%'!E20+'F.F.M.70%'!E20+'F.F.M.ESTIIMACIONES 2014'!E20</f>
        <v>751177.97295645659</v>
      </c>
      <c r="F17" s="647">
        <f>'F.F.M30%'!F20+'F.F.M.70%'!F20+'F.F.M.ESTIIMACIONES 2014'!F20</f>
        <v>875313.65708423802</v>
      </c>
      <c r="G17" s="647">
        <f>'F.F.M30%'!G20+'F.F.M.70%'!G20+'F.F.M.ESTIIMACIONES 2014'!G20</f>
        <v>709757.93684076692</v>
      </c>
      <c r="H17" s="647">
        <f>'F.F.M30%'!H20+'F.F.M.70%'!H20+'F.F.M.ESTIIMACIONES 2014'!H20</f>
        <v>752786.33629468386</v>
      </c>
      <c r="I17" s="647">
        <f>'F.F.M30%'!I20+'F.F.M.70%'!I20+'F.F.M.ESTIIMACIONES 2014'!I20</f>
        <v>836299.17757020984</v>
      </c>
      <c r="J17" s="647">
        <f>'F.F.M30%'!J20+'F.F.M.70%'!J20+'F.F.M.ESTIIMACIONES 2014'!J20</f>
        <v>742255.0471216758</v>
      </c>
      <c r="K17" s="647">
        <f>'F.F.M30%'!K20+'F.F.M.70%'!K20+'F.F.M.ESTIIMACIONES 2014'!K20</f>
        <v>805333.42969419609</v>
      </c>
      <c r="L17" s="647">
        <f>'F.F.M30%'!L20+'F.F.M.70%'!L20+'F.F.M.ESTIIMACIONES 2014'!L20</f>
        <v>805120.70366391365</v>
      </c>
      <c r="M17" s="647">
        <f>'F.F.M30%'!M20+'F.F.M.70%'!M20+'F.F.M.ESTIIMACIONES 2014'!M20</f>
        <v>729326.36552793952</v>
      </c>
      <c r="N17" s="647">
        <f>'F.F.M30%'!N20+'F.F.M.70%'!N20+'F.F.M.ESTIIMACIONES 2014'!N20</f>
        <v>804693.60296373628</v>
      </c>
      <c r="O17" s="648">
        <f t="shared" si="0"/>
        <v>9517874.5867635235</v>
      </c>
    </row>
    <row r="18" spans="1:15" ht="12.75" customHeight="1" x14ac:dyDescent="0.2">
      <c r="A18" s="645" t="s">
        <v>286</v>
      </c>
      <c r="B18" s="665"/>
      <c r="C18" s="647">
        <f>'F.F.M30%'!C21+'F.F.M.70%'!C21+'F.F.M.ESTIIMACIONES 2014'!C21</f>
        <v>1050580.567120871</v>
      </c>
      <c r="D18" s="647">
        <f>'F.F.M30%'!D21+'F.F.M.70%'!D21+'F.F.M.ESTIIMACIONES 2014'!D21</f>
        <v>1318161.5331276534</v>
      </c>
      <c r="E18" s="647">
        <f>'F.F.M30%'!E21+'F.F.M.70%'!E21+'F.F.M.ESTIIMACIONES 2014'!E21</f>
        <v>1012995.8752118028</v>
      </c>
      <c r="F18" s="647">
        <f>'F.F.M30%'!F21+'F.F.M.70%'!F21+'F.F.M.ESTIIMACIONES 2014'!F21</f>
        <v>1248274.3555936981</v>
      </c>
      <c r="G18" s="647">
        <f>'F.F.M30%'!G21+'F.F.M.70%'!G21+'F.F.M.ESTIIMACIONES 2014'!G21</f>
        <v>969743.14823610324</v>
      </c>
      <c r="H18" s="647">
        <f>'F.F.M30%'!H21+'F.F.M.70%'!H21+'F.F.M.ESTIIMACIONES 2014'!H21</f>
        <v>1017802.5045741242</v>
      </c>
      <c r="I18" s="647">
        <f>'F.F.M30%'!I21+'F.F.M.70%'!I21+'F.F.M.ESTIIMACIONES 2014'!I21</f>
        <v>1122276.7362981394</v>
      </c>
      <c r="J18" s="647">
        <f>'F.F.M30%'!J21+'F.F.M.70%'!J21+'F.F.M.ESTIIMACIONES 2014'!J21</f>
        <v>1029984.9564565157</v>
      </c>
      <c r="K18" s="647">
        <f>'F.F.M30%'!K21+'F.F.M.70%'!K21+'F.F.M.ESTIIMACIONES 2014'!K21</f>
        <v>1085362.5398765518</v>
      </c>
      <c r="L18" s="647">
        <f>'F.F.M30%'!L21+'F.F.M.70%'!L21+'F.F.M.ESTIIMACIONES 2014'!L21</f>
        <v>1087512.782925383</v>
      </c>
      <c r="M18" s="647">
        <f>'F.F.M30%'!M21+'F.F.M.70%'!M21+'F.F.M.ESTIIMACIONES 2014'!M21</f>
        <v>993952.68158001674</v>
      </c>
      <c r="N18" s="647">
        <f>'F.F.M30%'!N21+'F.F.M.70%'!N21+'F.F.M.ESTIIMACIONES 2014'!N21</f>
        <v>1077245.9726068955</v>
      </c>
      <c r="O18" s="648">
        <f t="shared" si="0"/>
        <v>13013893.653607754</v>
      </c>
    </row>
    <row r="19" spans="1:15" ht="12.75" customHeight="1" x14ac:dyDescent="0.2">
      <c r="A19" s="645" t="s">
        <v>287</v>
      </c>
      <c r="B19" s="665"/>
      <c r="C19" s="647">
        <f>'F.F.M30%'!C22+'F.F.M.70%'!C22+'F.F.M.ESTIIMACIONES 2014'!C22</f>
        <v>4260059.3278480042</v>
      </c>
      <c r="D19" s="647">
        <f>'F.F.M30%'!D22+'F.F.M.70%'!D22+'F.F.M.ESTIIMACIONES 2014'!D22</f>
        <v>7401716.3039396778</v>
      </c>
      <c r="E19" s="647">
        <f>'F.F.M30%'!E22+'F.F.M.70%'!E22+'F.F.M.ESTIIMACIONES 2014'!E22</f>
        <v>3867650.2982263491</v>
      </c>
      <c r="F19" s="647">
        <f>'F.F.M30%'!F22+'F.F.M.70%'!F22+'F.F.M.ESTIIMACIONES 2014'!F22</f>
        <v>7364379.7769787759</v>
      </c>
      <c r="G19" s="647">
        <f>'F.F.M30%'!G22+'F.F.M.70%'!G22+'F.F.M.ESTIIMACIONES 2014'!G22</f>
        <v>4185014.2911513867</v>
      </c>
      <c r="H19" s="647">
        <f>'F.F.M30%'!H22+'F.F.M.70%'!H22+'F.F.M.ESTIIMACIONES 2014'!H22</f>
        <v>3986977.6597986072</v>
      </c>
      <c r="I19" s="647">
        <f>'F.F.M30%'!I22+'F.F.M.70%'!I22+'F.F.M.ESTIIMACIONES 2014'!I22</f>
        <v>4074002.538978803</v>
      </c>
      <c r="J19" s="647">
        <f>'F.F.M30%'!J22+'F.F.M.70%'!J22+'F.F.M.ESTIIMACIONES 2014'!J22</f>
        <v>5043533.8390784059</v>
      </c>
      <c r="K19" s="647">
        <f>'F.F.M30%'!K22+'F.F.M.70%'!K22+'F.F.M.ESTIIMACIONES 2014'!K22</f>
        <v>4118517.7257780284</v>
      </c>
      <c r="L19" s="647">
        <f>'F.F.M30%'!L22+'F.F.M.70%'!L22+'F.F.M.ESTIIMACIONES 2014'!L22</f>
        <v>4220024.764160255</v>
      </c>
      <c r="M19" s="647">
        <f>'F.F.M30%'!M22+'F.F.M.70%'!M22+'F.F.M.ESTIIMACIONES 2014'!M22</f>
        <v>4194017.9100351948</v>
      </c>
      <c r="N19" s="647">
        <f>'F.F.M30%'!N22+'F.F.M.70%'!N22+'F.F.M.ESTIIMACIONES 2014'!N22</f>
        <v>3809841.6732984548</v>
      </c>
      <c r="O19" s="648">
        <f t="shared" si="0"/>
        <v>56525736.109271936</v>
      </c>
    </row>
    <row r="20" spans="1:15" ht="12.75" customHeight="1" x14ac:dyDescent="0.2">
      <c r="A20" s="645" t="s">
        <v>162</v>
      </c>
      <c r="B20" s="665"/>
      <c r="C20" s="647">
        <f>'F.F.M30%'!C23+'F.F.M.70%'!C23+'F.F.M.ESTIIMACIONES 2014'!C23</f>
        <v>1322893.4163721921</v>
      </c>
      <c r="D20" s="647">
        <f>'F.F.M30%'!D23+'F.F.M.70%'!D23+'F.F.M.ESTIIMACIONES 2014'!D23</f>
        <v>1685659.6375693909</v>
      </c>
      <c r="E20" s="647">
        <f>'F.F.M30%'!E23+'F.F.M.70%'!E23+'F.F.M.ESTIIMACIONES 2014'!E23</f>
        <v>1272552.6458764221</v>
      </c>
      <c r="F20" s="647">
        <f>'F.F.M30%'!F23+'F.F.M.70%'!F23+'F.F.M.ESTIIMACIONES 2014'!F23</f>
        <v>1600747.5439263908</v>
      </c>
      <c r="G20" s="647">
        <f>'F.F.M30%'!G23+'F.F.M.70%'!G23+'F.F.M.ESTIIMACIONES 2014'!G23</f>
        <v>1224276.8223112903</v>
      </c>
      <c r="H20" s="647">
        <f>'F.F.M30%'!H23+'F.F.M.70%'!H23+'F.F.M.ESTIIMACIONES 2014'!H23</f>
        <v>1279858.9395453401</v>
      </c>
      <c r="I20" s="647">
        <f>'F.F.M30%'!I23+'F.F.M.70%'!I23+'F.F.M.ESTIIMACIONES 2014'!I23</f>
        <v>1407185.8451255092</v>
      </c>
      <c r="J20" s="647">
        <f>'F.F.M30%'!J23+'F.F.M.70%'!J23+'F.F.M.ESTIIMACIONES 2014'!J23</f>
        <v>1307847.24912193</v>
      </c>
      <c r="K20" s="647">
        <f>'F.F.M30%'!K23+'F.F.M.70%'!K23+'F.F.M.ESTIIMACIONES 2014'!K23</f>
        <v>1363142.2286409498</v>
      </c>
      <c r="L20" s="647">
        <f>'F.F.M30%'!L23+'F.F.M.70%'!L23+'F.F.M.ESTIIMACIONES 2014'!L23</f>
        <v>1367015.0741341389</v>
      </c>
      <c r="M20" s="647">
        <f>'F.F.M30%'!M23+'F.F.M.70%'!M23+'F.F.M.ESTIIMACIONES 2014'!M23</f>
        <v>1253641.7638193241</v>
      </c>
      <c r="N20" s="647">
        <f>'F.F.M30%'!N23+'F.F.M.70%'!N23+'F.F.M.ESTIIMACIONES 2014'!N23</f>
        <v>1349458.7160851932</v>
      </c>
      <c r="O20" s="648">
        <f t="shared" si="0"/>
        <v>16434279.882528072</v>
      </c>
    </row>
    <row r="21" spans="1:15" ht="12.75" customHeight="1" x14ac:dyDescent="0.2">
      <c r="A21" s="645" t="s">
        <v>163</v>
      </c>
      <c r="B21" s="665"/>
      <c r="C21" s="647">
        <f>'F.F.M30%'!C24+'F.F.M.70%'!C24+'F.F.M.ESTIIMACIONES 2014'!C24</f>
        <v>15408616.178501286</v>
      </c>
      <c r="D21" s="647">
        <f>'F.F.M30%'!D24+'F.F.M.70%'!D24+'F.F.M.ESTIIMACIONES 2014'!D24</f>
        <v>20823640.250991605</v>
      </c>
      <c r="E21" s="647">
        <f>'F.F.M30%'!E24+'F.F.M.70%'!E24+'F.F.M.ESTIIMACIONES 2014'!E24</f>
        <v>14683434.393633924</v>
      </c>
      <c r="F21" s="647">
        <f>'F.F.M30%'!F24+'F.F.M.70%'!F24+'F.F.M.ESTIIMACIONES 2014'!F24</f>
        <v>19976940.906023629</v>
      </c>
      <c r="G21" s="647">
        <f>'F.F.M30%'!G24+'F.F.M.70%'!G24+'F.F.M.ESTIIMACIONES 2014'!G24</f>
        <v>14406163.691257752</v>
      </c>
      <c r="H21" s="647">
        <f>'F.F.M30%'!H24+'F.F.M.70%'!H24+'F.F.M.ESTIIMACIONES 2014'!H24</f>
        <v>14826285.647847818</v>
      </c>
      <c r="I21" s="647">
        <f>'F.F.M30%'!I24+'F.F.M.70%'!I24+'F.F.M.ESTIIMACIONES 2014'!I24</f>
        <v>16114634.060572116</v>
      </c>
      <c r="J21" s="647">
        <f>'F.F.M30%'!J24+'F.F.M.70%'!J24+'F.F.M.ESTIIMACIONES 2014'!J24</f>
        <v>15734868.676304925</v>
      </c>
      <c r="K21" s="647">
        <f>'F.F.M30%'!K24+'F.F.M.70%'!K24+'F.F.M.ESTIIMACIONES 2014'!K24</f>
        <v>15713963.246318771</v>
      </c>
      <c r="L21" s="647">
        <f>'F.F.M30%'!L24+'F.F.M.70%'!L24+'F.F.M.ESTIIMACIONES 2014'!L24</f>
        <v>15812745.518634336</v>
      </c>
      <c r="M21" s="647">
        <f>'F.F.M30%'!M24+'F.F.M.70%'!M24+'F.F.M.ESTIIMACIONES 2014'!M24</f>
        <v>14696619.589505445</v>
      </c>
      <c r="N21" s="647">
        <f>'F.F.M30%'!N24+'F.F.M.70%'!N24+'F.F.M.ESTIIMACIONES 2014'!N24</f>
        <v>15395068.221027991</v>
      </c>
      <c r="O21" s="648">
        <f t="shared" si="0"/>
        <v>193592980.38061959</v>
      </c>
    </row>
    <row r="22" spans="1:15" ht="12.75" customHeight="1" x14ac:dyDescent="0.2">
      <c r="A22" s="645" t="s">
        <v>164</v>
      </c>
      <c r="B22" s="665"/>
      <c r="C22" s="647">
        <f>'F.F.M30%'!C25+'F.F.M.70%'!C25+'F.F.M.ESTIIMACIONES 2014'!C25</f>
        <v>1805296.9155313747</v>
      </c>
      <c r="D22" s="647">
        <f>'F.F.M30%'!D25+'F.F.M.70%'!D25+'F.F.M.ESTIIMACIONES 2014'!D25</f>
        <v>2964451.9999165125</v>
      </c>
      <c r="E22" s="647">
        <f>'F.F.M30%'!E25+'F.F.M.70%'!E25+'F.F.M.ESTIIMACIONES 2014'!E25</f>
        <v>1659099.3356331522</v>
      </c>
      <c r="F22" s="647">
        <f>'F.F.M30%'!F25+'F.F.M.70%'!F25+'F.F.M.ESTIIMACIONES 2014'!F25</f>
        <v>2928028.7384549193</v>
      </c>
      <c r="G22" s="647">
        <f>'F.F.M30%'!G25+'F.F.M.70%'!G25+'F.F.M.ESTIIMACIONES 2014'!G25</f>
        <v>1752333.3328319041</v>
      </c>
      <c r="H22" s="647">
        <f>'F.F.M30%'!H25+'F.F.M.70%'!H25+'F.F.M.ESTIIMACIONES 2014'!H25</f>
        <v>1701308.0785781681</v>
      </c>
      <c r="I22" s="647">
        <f>'F.F.M30%'!I25+'F.F.M.70%'!I25+'F.F.M.ESTIIMACIONES 2014'!I25</f>
        <v>1766370.2011303245</v>
      </c>
      <c r="J22" s="647">
        <f>'F.F.M30%'!J25+'F.F.M.70%'!J25+'F.F.M.ESTIIMACIONES 2014'!J25</f>
        <v>2064722.4352633166</v>
      </c>
      <c r="K22" s="647">
        <f>'F.F.M30%'!K25+'F.F.M.70%'!K25+'F.F.M.ESTIIMACIONES 2014'!K25</f>
        <v>1768974.8555404709</v>
      </c>
      <c r="L22" s="647">
        <f>'F.F.M30%'!L25+'F.F.M.70%'!L25+'F.F.M.ESTIIMACIONES 2014'!L25</f>
        <v>1804221.9994914399</v>
      </c>
      <c r="M22" s="647">
        <f>'F.F.M30%'!M25+'F.F.M.70%'!M25+'F.F.M.ESTIIMACIONES 2014'!M25</f>
        <v>1763614.2598820163</v>
      </c>
      <c r="N22" s="647">
        <f>'F.F.M30%'!N25+'F.F.M.70%'!N25+'F.F.M.ESTIIMACIONES 2014'!N25</f>
        <v>1661254.9896405698</v>
      </c>
      <c r="O22" s="648">
        <f t="shared" si="0"/>
        <v>23639677.141894169</v>
      </c>
    </row>
    <row r="23" spans="1:15" ht="12.75" customHeight="1" thickBot="1" x14ac:dyDescent="0.25">
      <c r="A23" s="645" t="s">
        <v>165</v>
      </c>
      <c r="B23" s="665"/>
      <c r="C23" s="647">
        <f>'F.F.M30%'!C26+'F.F.M.70%'!C26+'F.F.M.ESTIIMACIONES 2014'!C26</f>
        <v>1339790.3964033388</v>
      </c>
      <c r="D23" s="647">
        <f>'F.F.M30%'!D26+'F.F.M.70%'!D26+'F.F.M.ESTIIMACIONES 2014'!D26</f>
        <v>2006621.3800103529</v>
      </c>
      <c r="E23" s="647">
        <f>'F.F.M30%'!E26+'F.F.M.70%'!E26+'F.F.M.ESTIIMACIONES 2014'!E26</f>
        <v>1253863.5532469153</v>
      </c>
      <c r="F23" s="647">
        <f>'F.F.M30%'!F26+'F.F.M.70%'!F26+'F.F.M.ESTIIMACIONES 2014'!F26</f>
        <v>1956448.3984269882</v>
      </c>
      <c r="G23" s="647">
        <f>'F.F.M30%'!G26+'F.F.M.70%'!G26+'F.F.M.ESTIIMACIONES 2014'!G26</f>
        <v>1276712.5085899723</v>
      </c>
      <c r="H23" s="647">
        <f>'F.F.M30%'!H26+'F.F.M.70%'!H26+'F.F.M.ESTIIMACIONES 2014'!H26</f>
        <v>1275798.7229109844</v>
      </c>
      <c r="I23" s="647">
        <f>'F.F.M30%'!I26+'F.F.M.70%'!I26+'F.F.M.ESTIIMACIONES 2014'!I26</f>
        <v>1355743.2404728825</v>
      </c>
      <c r="J23" s="647">
        <f>'F.F.M30%'!J26+'F.F.M.70%'!J26+'F.F.M.ESTIIMACIONES 2014'!J26</f>
        <v>1450779.8323614306</v>
      </c>
      <c r="K23" s="647">
        <f>'F.F.M30%'!K26+'F.F.M.70%'!K26+'F.F.M.ESTIIMACIONES 2014'!K26</f>
        <v>1339411.3877049857</v>
      </c>
      <c r="L23" s="647">
        <f>'F.F.M30%'!L26+'F.F.M.70%'!L26+'F.F.M.ESTIIMACIONES 2014'!L26</f>
        <v>1356842.9978643158</v>
      </c>
      <c r="M23" s="647">
        <f>'F.F.M30%'!M26+'F.F.M.70%'!M26+'F.F.M.ESTIIMACIONES 2014'!M26</f>
        <v>1293470.6917722509</v>
      </c>
      <c r="N23" s="647">
        <f>'F.F.M30%'!N26+'F.F.M.70%'!N26+'F.F.M.ESTIIMACIONES 2014'!N26</f>
        <v>1285403.74329449</v>
      </c>
      <c r="O23" s="648">
        <f t="shared" si="0"/>
        <v>17190886.853058908</v>
      </c>
    </row>
    <row r="24" spans="1:15" ht="13.5" thickBot="1" x14ac:dyDescent="0.25">
      <c r="A24" s="650" t="s">
        <v>288</v>
      </c>
      <c r="B24" s="666">
        <f t="shared" ref="B24:N24" si="1">SUM(B4:B23)</f>
        <v>0</v>
      </c>
      <c r="C24" s="652">
        <f t="shared" si="1"/>
        <v>41779597.571550816</v>
      </c>
      <c r="D24" s="652">
        <f t="shared" si="1"/>
        <v>60331272.190641314</v>
      </c>
      <c r="E24" s="652">
        <f t="shared" si="1"/>
        <v>39361786.155558549</v>
      </c>
      <c r="F24" s="652">
        <f t="shared" si="1"/>
        <v>58498394.842482634</v>
      </c>
      <c r="G24" s="652">
        <f t="shared" si="1"/>
        <v>39536998.242690451</v>
      </c>
      <c r="H24" s="652">
        <f t="shared" si="1"/>
        <v>39936942.425573729</v>
      </c>
      <c r="I24" s="652">
        <f t="shared" si="1"/>
        <v>42796954.297176629</v>
      </c>
      <c r="J24" s="652">
        <f t="shared" si="1"/>
        <v>44295282.119465731</v>
      </c>
      <c r="K24" s="652">
        <f t="shared" si="1"/>
        <v>42075908.315683603</v>
      </c>
      <c r="L24" s="652">
        <f t="shared" si="1"/>
        <v>42518313.101426877</v>
      </c>
      <c r="M24" s="652">
        <f t="shared" si="1"/>
        <v>40156806.656400159</v>
      </c>
      <c r="N24" s="652">
        <f t="shared" si="1"/>
        <v>40692447.081349462</v>
      </c>
      <c r="O24" s="652">
        <f t="shared" si="0"/>
        <v>531980703</v>
      </c>
    </row>
    <row r="25" spans="1:15" x14ac:dyDescent="0.2">
      <c r="A25" s="653"/>
      <c r="B25" s="653"/>
      <c r="C25" s="653"/>
      <c r="D25" s="653"/>
      <c r="E25" s="653"/>
      <c r="F25" s="653"/>
      <c r="G25" s="653"/>
      <c r="H25" s="653"/>
      <c r="I25" s="653"/>
      <c r="J25" s="653"/>
      <c r="K25" s="653"/>
      <c r="L25" s="653"/>
      <c r="M25" s="653"/>
      <c r="N25" s="653"/>
      <c r="O25" s="653"/>
    </row>
    <row r="26" spans="1:15" x14ac:dyDescent="0.2">
      <c r="A26" s="654" t="s">
        <v>289</v>
      </c>
      <c r="M26" s="649"/>
      <c r="O26" s="649"/>
    </row>
    <row r="27" spans="1:15" x14ac:dyDescent="0.2">
      <c r="O27" s="649"/>
    </row>
    <row r="28" spans="1:15" x14ac:dyDescent="0.2">
      <c r="M28" s="649"/>
    </row>
    <row r="29" spans="1:15" x14ac:dyDescent="0.2">
      <c r="O29" s="649"/>
    </row>
  </sheetData>
  <mergeCells count="1">
    <mergeCell ref="A1:O1"/>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rgb="FFFFFF00"/>
  </sheetPr>
  <dimension ref="A1:Q26"/>
  <sheetViews>
    <sheetView workbookViewId="0">
      <selection activeCell="B32" sqref="B32"/>
    </sheetView>
  </sheetViews>
  <sheetFormatPr baseColWidth="10" defaultRowHeight="12.75" x14ac:dyDescent="0.2"/>
  <cols>
    <col min="1" max="1" width="16.5703125" style="640" customWidth="1"/>
    <col min="2" max="2" width="9.28515625" style="640" hidden="1" customWidth="1"/>
    <col min="3" max="7" width="7.85546875" style="640" bestFit="1" customWidth="1"/>
    <col min="8" max="10" width="7.85546875" style="640" customWidth="1"/>
    <col min="11" max="11" width="9.42578125" style="640" customWidth="1"/>
    <col min="12" max="12" width="7.85546875" style="640" customWidth="1"/>
    <col min="13" max="13" width="9.7109375" style="640" customWidth="1"/>
    <col min="14" max="14" width="9" style="640" customWidth="1"/>
    <col min="15" max="15" width="8.7109375" style="640" bestFit="1" customWidth="1"/>
    <col min="16" max="16" width="12.7109375" style="640" bestFit="1" customWidth="1"/>
    <col min="17" max="16384" width="11.42578125" style="640"/>
  </cols>
  <sheetData>
    <row r="1" spans="1:17" x14ac:dyDescent="0.2">
      <c r="A1" s="1237" t="s">
        <v>386</v>
      </c>
      <c r="B1" s="1237"/>
      <c r="C1" s="1237"/>
      <c r="D1" s="1237"/>
      <c r="E1" s="1237"/>
      <c r="F1" s="1237"/>
      <c r="G1" s="1237"/>
      <c r="H1" s="1237"/>
      <c r="I1" s="1237"/>
      <c r="J1" s="1237"/>
      <c r="K1" s="1237"/>
      <c r="L1" s="1237"/>
      <c r="M1" s="1237"/>
      <c r="N1" s="1237"/>
      <c r="O1" s="1237"/>
    </row>
    <row r="2" spans="1:17" ht="13.5" thickBot="1" x14ac:dyDescent="0.25"/>
    <row r="3" spans="1:17" ht="23.25" thickBot="1" x14ac:dyDescent="0.25">
      <c r="A3" s="641" t="s">
        <v>346</v>
      </c>
      <c r="B3" s="642" t="s">
        <v>281</v>
      </c>
      <c r="C3" s="641" t="s">
        <v>1</v>
      </c>
      <c r="D3" s="643" t="s">
        <v>2</v>
      </c>
      <c r="E3" s="641" t="s">
        <v>3</v>
      </c>
      <c r="F3" s="643" t="s">
        <v>4</v>
      </c>
      <c r="G3" s="641" t="s">
        <v>5</v>
      </c>
      <c r="H3" s="641" t="s">
        <v>6</v>
      </c>
      <c r="I3" s="641" t="s">
        <v>7</v>
      </c>
      <c r="J3" s="643" t="s">
        <v>8</v>
      </c>
      <c r="K3" s="641" t="s">
        <v>9</v>
      </c>
      <c r="L3" s="643" t="s">
        <v>10</v>
      </c>
      <c r="M3" s="641" t="s">
        <v>11</v>
      </c>
      <c r="N3" s="641" t="s">
        <v>12</v>
      </c>
      <c r="O3" s="644" t="s">
        <v>168</v>
      </c>
    </row>
    <row r="4" spans="1:17" ht="12.75" customHeight="1" x14ac:dyDescent="0.2">
      <c r="A4" s="645" t="s">
        <v>282</v>
      </c>
      <c r="B4" s="656"/>
      <c r="C4" s="647">
        <f>'[4] FOCO INCREMENTO'!C7+'[4] FOCO ESTIMACION'!C7</f>
        <v>293071.38094113616</v>
      </c>
      <c r="D4" s="647">
        <f>'[4] FOCO INCREMENTO'!D7+'[4] FOCO ESTIMACION'!D7</f>
        <v>295230.63445575966</v>
      </c>
      <c r="E4" s="647">
        <f>'[4] FOCO INCREMENTO'!E7+'[4] FOCO ESTIMACION'!E7</f>
        <v>287468.89670337556</v>
      </c>
      <c r="F4" s="647">
        <f>'[4] FOCO INCREMENTO'!F7+'[4] FOCO ESTIMACION'!F7</f>
        <v>305241.69569530652</v>
      </c>
      <c r="G4" s="647">
        <f>'[4] FOCO INCREMENTO'!G7+'[4] FOCO ESTIMACION'!G7</f>
        <v>302443.59145698301</v>
      </c>
      <c r="H4" s="647">
        <f>'[4] FOCO INCREMENTO'!H7+'[4] FOCO ESTIMACION'!H7</f>
        <v>310935.35706946446</v>
      </c>
      <c r="I4" s="647">
        <f>'[4] FOCO INCREMENTO'!I7+'[4] FOCO ESTIMACION'!I7</f>
        <v>299723.71469322289</v>
      </c>
      <c r="J4" s="647">
        <f>'[4] FOCO INCREMENTO'!J7+'[4] FOCO ESTIMACION'!J7</f>
        <v>303799.93898461858</v>
      </c>
      <c r="K4" s="647">
        <f>'[4] FOCO INCREMENTO'!K7+'[4] FOCO ESTIMACION'!K7</f>
        <v>295860.99207054696</v>
      </c>
      <c r="L4" s="647">
        <f>'[4] FOCO INCREMENTO'!L7+'[4] FOCO ESTIMACION'!L7</f>
        <v>287253.18242701917</v>
      </c>
      <c r="M4" s="647">
        <f>'[4] FOCO INCREMENTO'!M7+'[4] FOCO ESTIMACION'!M7</f>
        <v>292569.28234723891</v>
      </c>
      <c r="N4" s="647">
        <f>'[4] FOCO INCREMENTO'!N7+'[4] FOCO ESTIMACION'!N7</f>
        <v>271071.73589895893</v>
      </c>
      <c r="O4" s="648">
        <f>SUM(C4:N4)</f>
        <v>3544670.402743631</v>
      </c>
      <c r="P4" s="649"/>
      <c r="Q4" s="649"/>
    </row>
    <row r="5" spans="1:17" ht="12.75" customHeight="1" x14ac:dyDescent="0.2">
      <c r="A5" s="645" t="s">
        <v>147</v>
      </c>
      <c r="B5" s="657"/>
      <c r="C5" s="647">
        <f>'[4] FOCO INCREMENTO'!C8+'[4] FOCO ESTIMACION'!C8</f>
        <v>167923.75088356718</v>
      </c>
      <c r="D5" s="647">
        <f>'[4] FOCO INCREMENTO'!D8+'[4] FOCO ESTIMACION'!D8</f>
        <v>169316.44590889825</v>
      </c>
      <c r="E5" s="647">
        <f>'[4] FOCO INCREMENTO'!E8+'[4] FOCO ESTIMACION'!E8</f>
        <v>143476.72168163006</v>
      </c>
      <c r="F5" s="647">
        <f>'[4] FOCO INCREMENTO'!F8+'[4] FOCO ESTIMACION'!F8</f>
        <v>167657.19351858451</v>
      </c>
      <c r="G5" s="647">
        <f>'[4] FOCO INCREMENTO'!G8+'[4] FOCO ESTIMACION'!G8</f>
        <v>155148.51064548985</v>
      </c>
      <c r="H5" s="647">
        <f>'[4] FOCO INCREMENTO'!H8+'[4] FOCO ESTIMACION'!H8</f>
        <v>169816.08130581549</v>
      </c>
      <c r="I5" s="647">
        <f>'[4] FOCO INCREMENTO'!I8+'[4] FOCO ESTIMACION'!I8</f>
        <v>152989.85268948891</v>
      </c>
      <c r="J5" s="647">
        <f>'[4] FOCO INCREMENTO'!J8+'[4] FOCO ESTIMACION'!J8</f>
        <v>158269.95750445744</v>
      </c>
      <c r="K5" s="647">
        <f>'[4] FOCO INCREMENTO'!K8+'[4] FOCO ESTIMACION'!K8</f>
        <v>157137.50561906997</v>
      </c>
      <c r="L5" s="647">
        <f>'[4] FOCO INCREMENTO'!L8+'[4] FOCO ESTIMACION'!L8</f>
        <v>140750.05808218033</v>
      </c>
      <c r="M5" s="647">
        <f>'[4] FOCO INCREMENTO'!M8+'[4] FOCO ESTIMACION'!M8</f>
        <v>151776.72747538111</v>
      </c>
      <c r="N5" s="647">
        <f>'[4] FOCO INCREMENTO'!N8+'[4] FOCO ESTIMACION'!N8</f>
        <v>168514.19251680683</v>
      </c>
      <c r="O5" s="648">
        <f t="shared" ref="O5:O23" si="0">SUM(C5:N5)</f>
        <v>1902776.99783137</v>
      </c>
      <c r="P5" s="649"/>
    </row>
    <row r="6" spans="1:17" ht="12.75" customHeight="1" x14ac:dyDescent="0.2">
      <c r="A6" s="645" t="s">
        <v>148</v>
      </c>
      <c r="B6" s="657"/>
      <c r="C6" s="647">
        <f>'[4] FOCO INCREMENTO'!C9+'[4] FOCO ESTIMACION'!C9</f>
        <v>162497.33002536252</v>
      </c>
      <c r="D6" s="647">
        <f>'[4] FOCO INCREMENTO'!D9+'[4] FOCO ESTIMACION'!D9</f>
        <v>163917.36695336353</v>
      </c>
      <c r="E6" s="647">
        <f>'[4] FOCO INCREMENTO'!E9+'[4] FOCO ESTIMACION'!E9</f>
        <v>128959.04112502883</v>
      </c>
      <c r="F6" s="647">
        <f>'[4] FOCO INCREMENTO'!F9+'[4] FOCO ESTIMACION'!F9</f>
        <v>158870.7599967175</v>
      </c>
      <c r="G6" s="647">
        <f>'[4] FOCO INCREMENTO'!G9+'[4] FOCO ESTIMACION'!G9</f>
        <v>141692.14083376186</v>
      </c>
      <c r="H6" s="647">
        <f>'[4] FOCO INCREMENTO'!H9+'[4] FOCO ESTIMACION'!H9</f>
        <v>160446.45806968526</v>
      </c>
      <c r="I6" s="647">
        <f>'[4] FOCO INCREMENTO'!I9+'[4] FOCO ESTIMACION'!I9</f>
        <v>139323.96237907078</v>
      </c>
      <c r="J6" s="647">
        <f>'[4] FOCO INCREMENTO'!J9+'[4] FOCO ESTIMACION'!J9</f>
        <v>145803.48516778366</v>
      </c>
      <c r="K6" s="647">
        <f>'[4] FOCO INCREMENTO'!K9+'[4] FOCO ESTIMACION'!K9</f>
        <v>146297.23320160009</v>
      </c>
      <c r="L6" s="647">
        <f>'[4] FOCO INCREMENTO'!L9+'[4] FOCO ESTIMACION'!L9</f>
        <v>125109.31781222334</v>
      </c>
      <c r="M6" s="647">
        <f>'[4] FOCO INCREMENTO'!M9+'[4] FOCO ESTIMACION'!M9</f>
        <v>139492.95653689533</v>
      </c>
      <c r="N6" s="647">
        <f>'[4] FOCO INCREMENTO'!N9+'[4] FOCO ESTIMACION'!N9</f>
        <v>169208.51245931126</v>
      </c>
      <c r="O6" s="648">
        <f t="shared" si="0"/>
        <v>1781618.5645608038</v>
      </c>
      <c r="P6" s="649"/>
    </row>
    <row r="7" spans="1:17" ht="12.75" customHeight="1" x14ac:dyDescent="0.2">
      <c r="A7" s="645" t="s">
        <v>283</v>
      </c>
      <c r="B7" s="657"/>
      <c r="C7" s="647">
        <f>'[4] FOCO INCREMENTO'!C10+'[4] FOCO ESTIMACION'!C10</f>
        <v>648950.14567954827</v>
      </c>
      <c r="D7" s="647">
        <f>'[4] FOCO INCREMENTO'!D10+'[4] FOCO ESTIMACION'!D10</f>
        <v>653955.33323754231</v>
      </c>
      <c r="E7" s="647">
        <f>'[4] FOCO INCREMENTO'!E10+'[4] FOCO ESTIMACION'!E10</f>
        <v>605958.76980175229</v>
      </c>
      <c r="F7" s="647">
        <f>'[4] FOCO INCREMENTO'!F10+'[4] FOCO ESTIMACION'!F10</f>
        <v>665471.95690336078</v>
      </c>
      <c r="G7" s="647">
        <f>'[4] FOCO INCREMENTO'!G10+'[4] FOCO ESTIMACION'!G10</f>
        <v>643569.9239145224</v>
      </c>
      <c r="H7" s="647">
        <f>'[4] FOCO INCREMENTO'!H10+'[4] FOCO ESTIMACION'!H10</f>
        <v>676490.25220666104</v>
      </c>
      <c r="I7" s="647">
        <f>'[4] FOCO INCREMENTO'!I10+'[4] FOCO ESTIMACION'!I10</f>
        <v>636682.82601613738</v>
      </c>
      <c r="J7" s="647">
        <f>'[4] FOCO INCREMENTO'!J10+'[4] FOCO ESTIMACION'!J10</f>
        <v>649949.57533782744</v>
      </c>
      <c r="K7" s="647">
        <f>'[4] FOCO INCREMENTO'!K10+'[4] FOCO ESTIMACION'!K10</f>
        <v>637290.65657251002</v>
      </c>
      <c r="L7" s="647">
        <f>'[4] FOCO INCREMENTO'!L10+'[4] FOCO ESTIMACION'!L10</f>
        <v>601732.138300444</v>
      </c>
      <c r="M7" s="647">
        <f>'[4] FOCO INCREMENTO'!M10+'[4] FOCO ESTIMACION'!M10</f>
        <v>624997.48473503243</v>
      </c>
      <c r="N7" s="647">
        <f>'[4] FOCO INCREMENTO'!N10+'[4] FOCO ESTIMACION'!N10</f>
        <v>619240.93385230529</v>
      </c>
      <c r="O7" s="648">
        <f t="shared" si="0"/>
        <v>7664289.9965576446</v>
      </c>
      <c r="P7" s="649"/>
    </row>
    <row r="8" spans="1:17" ht="12.75" customHeight="1" x14ac:dyDescent="0.2">
      <c r="A8" s="645" t="s">
        <v>150</v>
      </c>
      <c r="B8" s="657"/>
      <c r="C8" s="647">
        <f>'[4] FOCO INCREMENTO'!C11+'[4] FOCO ESTIMACION'!C11</f>
        <v>471383.47329630965</v>
      </c>
      <c r="D8" s="647">
        <f>'[4] FOCO INCREMENTO'!D11+'[4] FOCO ESTIMACION'!D11</f>
        <v>474836.25750203704</v>
      </c>
      <c r="E8" s="647">
        <f>'[4] FOCO INCREMENTO'!E11+'[4] FOCO ESTIMACION'!E11</f>
        <v>465133.18937778141</v>
      </c>
      <c r="F8" s="647">
        <f>'[4] FOCO INCREMENTO'!F11+'[4] FOCO ESTIMACION'!F11</f>
        <v>491899.73568948405</v>
      </c>
      <c r="G8" s="647">
        <f>'[4] FOCO INCREMENTO'!G11+'[4] FOCO ESTIMACION'!G11</f>
        <v>488816.94766019669</v>
      </c>
      <c r="H8" s="647">
        <f>'[4] FOCO INCREMENTO'!H11+'[4] FOCO ESTIMACION'!H11</f>
        <v>501201.02044914151</v>
      </c>
      <c r="I8" s="647">
        <f>'[4] FOCO INCREMENTO'!I11+'[4] FOCO ESTIMACION'!I11</f>
        <v>484520.26060342306</v>
      </c>
      <c r="J8" s="647">
        <f>'[4] FOCO INCREMENTO'!J11+'[4] FOCO ESTIMACION'!J11</f>
        <v>490693.7636842819</v>
      </c>
      <c r="K8" s="647">
        <f>'[4] FOCO INCREMENTO'!K11+'[4] FOCO ESTIMACION'!K11</f>
        <v>477480.41233588377</v>
      </c>
      <c r="L8" s="647">
        <f>'[4] FOCO INCREMENTO'!L11+'[4] FOCO ESTIMACION'!L11</f>
        <v>465124.6389111054</v>
      </c>
      <c r="M8" s="647">
        <f>'[4] FOCO INCREMENTO'!M11+'[4] FOCO ESTIMACION'!M11</f>
        <v>472637.66870605573</v>
      </c>
      <c r="N8" s="647">
        <f>'[4] FOCO INCREMENTO'!N11+'[4] FOCO ESTIMACION'!N11</f>
        <v>434283.17430317326</v>
      </c>
      <c r="O8" s="648">
        <f t="shared" si="0"/>
        <v>5718010.5425188737</v>
      </c>
      <c r="P8" s="649"/>
    </row>
    <row r="9" spans="1:17" ht="12.75" customHeight="1" x14ac:dyDescent="0.2">
      <c r="A9" s="645" t="s">
        <v>284</v>
      </c>
      <c r="B9" s="657"/>
      <c r="C9" s="647">
        <f>'[4] FOCO INCREMENTO'!C12+'[4] FOCO ESTIMACION'!C12</f>
        <v>495784.42770370154</v>
      </c>
      <c r="D9" s="647">
        <f>'[4] FOCO INCREMENTO'!D12+'[4] FOCO ESTIMACION'!D12</f>
        <v>499216.59407409781</v>
      </c>
      <c r="E9" s="647">
        <f>'[4] FOCO INCREMENTO'!E12+'[4] FOCO ESTIMACION'!E12</f>
        <v>516438.24173897039</v>
      </c>
      <c r="F9" s="647">
        <f>'[4] FOCO INCREMENTO'!F12+'[4] FOCO ESTIMACION'!F12</f>
        <v>526644.89675602317</v>
      </c>
      <c r="G9" s="647">
        <f>'[4] FOCO INCREMENTO'!G12+'[4] FOCO ESTIMACION'!G12</f>
        <v>537384.26656664128</v>
      </c>
      <c r="H9" s="647">
        <f>'[4] FOCO INCREMENTO'!H12+'[4] FOCO ESTIMACION'!H12</f>
        <v>537842.39396935108</v>
      </c>
      <c r="I9" s="647">
        <f>'[4] FOCO INCREMENTO'!I12+'[4] FOCO ESTIMACION'!I12</f>
        <v>533634.70656488149</v>
      </c>
      <c r="J9" s="647">
        <f>'[4] FOCO INCREMENTO'!J12+'[4] FOCO ESTIMACION'!J12</f>
        <v>536352.64733775321</v>
      </c>
      <c r="K9" s="647">
        <f>'[4] FOCO INCREMENTO'!K12+'[4] FOCO ESTIMACION'!K12</f>
        <v>518075.18389640079</v>
      </c>
      <c r="L9" s="647">
        <f>'[4] FOCO INCREMENTO'!L12+'[4] FOCO ESTIMACION'!L12</f>
        <v>519766.61006429675</v>
      </c>
      <c r="M9" s="647">
        <f>'[4] FOCO INCREMENTO'!M12+'[4] FOCO ESTIMACION'!M12</f>
        <v>517436.63183014223</v>
      </c>
      <c r="N9" s="647">
        <f>'[4] FOCO INCREMENTO'!N12+'[4] FOCO ESTIMACION'!N12</f>
        <v>439845.47884661314</v>
      </c>
      <c r="O9" s="648">
        <f t="shared" si="0"/>
        <v>6178422.0793488724</v>
      </c>
      <c r="P9" s="649"/>
    </row>
    <row r="10" spans="1:17" ht="12.75" customHeight="1" x14ac:dyDescent="0.2">
      <c r="A10" s="645" t="s">
        <v>152</v>
      </c>
      <c r="B10" s="657"/>
      <c r="C10" s="647">
        <f>'[4] FOCO INCREMENTO'!C13+'[4] FOCO ESTIMACION'!C13</f>
        <v>198742.42751254898</v>
      </c>
      <c r="D10" s="647">
        <f>'[4] FOCO INCREMENTO'!D13+'[4] FOCO ESTIMACION'!D13</f>
        <v>200370.80165246839</v>
      </c>
      <c r="E10" s="647">
        <f>'[4] FOCO INCREMENTO'!E13+'[4] FOCO ESTIMACION'!E13</f>
        <v>172529.29132417578</v>
      </c>
      <c r="F10" s="647">
        <f>'[4] FOCO INCREMENTO'!F13+'[4] FOCO ESTIMACION'!F13</f>
        <v>199354.43170012755</v>
      </c>
      <c r="G10" s="647">
        <f>'[4] FOCO INCREMENTO'!G13+'[4] FOCO ESTIMACION'!G13</f>
        <v>185947.12146230042</v>
      </c>
      <c r="H10" s="647">
        <f>'[4] FOCO INCREMENTO'!H13+'[4] FOCO ESTIMACION'!H13</f>
        <v>202050.89665968972</v>
      </c>
      <c r="I10" s="647">
        <f>'[4] FOCO INCREMENTO'!I13+'[4] FOCO ESTIMACION'!I13</f>
        <v>183469.18297952466</v>
      </c>
      <c r="J10" s="647">
        <f>'[4] FOCO INCREMENTO'!J13+'[4] FOCO ESTIMACION'!J13</f>
        <v>189341.12043138896</v>
      </c>
      <c r="K10" s="647">
        <f>'[4] FOCO INCREMENTO'!K13+'[4] FOCO ESTIMACION'!K13</f>
        <v>187563.16699302883</v>
      </c>
      <c r="L10" s="647">
        <f>'[4] FOCO INCREMENTO'!L13+'[4] FOCO ESTIMACION'!L13</f>
        <v>169635.68033925485</v>
      </c>
      <c r="M10" s="647">
        <f>'[4] FOCO INCREMENTO'!M13+'[4] FOCO ESTIMACION'!M13</f>
        <v>181663.67075794237</v>
      </c>
      <c r="N10" s="647">
        <f>'[4] FOCO INCREMENTO'!N13+'[4] FOCO ESTIMACION'!N13</f>
        <v>197750.75778297905</v>
      </c>
      <c r="O10" s="648">
        <f t="shared" si="0"/>
        <v>2268418.5495954296</v>
      </c>
      <c r="P10" s="649"/>
    </row>
    <row r="11" spans="1:17" ht="12.75" customHeight="1" x14ac:dyDescent="0.2">
      <c r="A11" s="645" t="s">
        <v>153</v>
      </c>
      <c r="B11" s="657"/>
      <c r="C11" s="647">
        <f>'[4] FOCO INCREMENTO'!C14+'[4] FOCO ESTIMACION'!C14</f>
        <v>222371.49636443221</v>
      </c>
      <c r="D11" s="647">
        <f>'[4] FOCO INCREMENTO'!D14+'[4] FOCO ESTIMACION'!D14</f>
        <v>224071.95718349898</v>
      </c>
      <c r="E11" s="647">
        <f>'[4] FOCO INCREMENTO'!E14+'[4] FOCO ESTIMACION'!E14</f>
        <v>209638.67191565505</v>
      </c>
      <c r="F11" s="647">
        <f>'[4] FOCO INCREMENTO'!F14+'[4] FOCO ESTIMACION'!F14</f>
        <v>228714.31185895676</v>
      </c>
      <c r="G11" s="647">
        <f>'[4] FOCO INCREMENTO'!G14+'[4] FOCO ESTIMACION'!G14</f>
        <v>222235.66834534577</v>
      </c>
      <c r="H11" s="647">
        <f>'[4] FOCO INCREMENTO'!H14+'[4] FOCO ESTIMACION'!H14</f>
        <v>232593.73300999656</v>
      </c>
      <c r="I11" s="647">
        <f>'[4] FOCO INCREMENTO'!I14+'[4] FOCO ESTIMACION'!I14</f>
        <v>219932.20285984827</v>
      </c>
      <c r="J11" s="647">
        <f>'[4] FOCO INCREMENTO'!J14+'[4] FOCO ESTIMACION'!J14</f>
        <v>224201.10509026566</v>
      </c>
      <c r="K11" s="647">
        <f>'[4] FOCO INCREMENTO'!K14+'[4] FOCO ESTIMACION'!K14</f>
        <v>219541.81624763118</v>
      </c>
      <c r="L11" s="647">
        <f>'[4] FOCO INCREMENTO'!L14+'[4] FOCO ESTIMACION'!L14</f>
        <v>208435.35151326659</v>
      </c>
      <c r="M11" s="647">
        <f>'[4] FOCO INCREMENTO'!M14+'[4] FOCO ESTIMACION'!M14</f>
        <v>215656.42256975552</v>
      </c>
      <c r="N11" s="647">
        <f>'[4] FOCO INCREMENTO'!N14+'[4] FOCO ESTIMACION'!N14</f>
        <v>210949.29260480555</v>
      </c>
      <c r="O11" s="648">
        <f t="shared" si="0"/>
        <v>2638342.0295634577</v>
      </c>
      <c r="P11" s="649"/>
    </row>
    <row r="12" spans="1:17" ht="12.75" customHeight="1" x14ac:dyDescent="0.2">
      <c r="A12" s="645" t="s">
        <v>154</v>
      </c>
      <c r="B12" s="657"/>
      <c r="C12" s="647">
        <f>'[4] FOCO INCREMENTO'!C15+'[4] FOCO ESTIMACION'!C15</f>
        <v>202946.21048486899</v>
      </c>
      <c r="D12" s="647">
        <f>'[4] FOCO INCREMENTO'!D15+'[4] FOCO ESTIMACION'!D15</f>
        <v>204536.57748429695</v>
      </c>
      <c r="E12" s="647">
        <f>'[4] FOCO INCREMENTO'!E15+'[4] FOCO ESTIMACION'!E15</f>
        <v>186074.05675057671</v>
      </c>
      <c r="F12" s="647">
        <f>'[4] FOCO INCREMENTO'!F15+'[4] FOCO ESTIMACION'!F15</f>
        <v>206944.62030849885</v>
      </c>
      <c r="G12" s="647">
        <f>'[4] FOCO INCREMENTO'!G15+'[4] FOCO ESTIMACION'!G15</f>
        <v>198335.15322998998</v>
      </c>
      <c r="H12" s="647">
        <f>'[4] FOCO INCREMENTO'!H15+'[4] FOCO ESTIMACION'!H15</f>
        <v>210212.28316799866</v>
      </c>
      <c r="I12" s="647">
        <f>'[4] FOCO INCREMENTO'!I15+'[4] FOCO ESTIMACION'!I15</f>
        <v>196084.47945937552</v>
      </c>
      <c r="J12" s="647">
        <f>'[4] FOCO INCREMENTO'!J15+'[4] FOCO ESTIMACION'!J15</f>
        <v>200708.6100901358</v>
      </c>
      <c r="K12" s="647">
        <f>'[4] FOCO INCREMENTO'!K15+'[4] FOCO ESTIMACION'!K15</f>
        <v>197301.16338629025</v>
      </c>
      <c r="L12" s="647">
        <f>'[4] FOCO INCREMENTO'!L15+'[4] FOCO ESTIMACION'!L15</f>
        <v>184332.14972644288</v>
      </c>
      <c r="M12" s="647">
        <f>'[4] FOCO INCREMENTO'!M15+'[4] FOCO ESTIMACION'!M15</f>
        <v>192895.9325505317</v>
      </c>
      <c r="N12" s="647">
        <f>'[4] FOCO INCREMENTO'!N15+'[4] FOCO ESTIMACION'!N15</f>
        <v>195784.93325843912</v>
      </c>
      <c r="O12" s="648">
        <f t="shared" si="0"/>
        <v>2376156.1698974455</v>
      </c>
      <c r="P12" s="649"/>
    </row>
    <row r="13" spans="1:17" ht="12.75" customHeight="1" x14ac:dyDescent="0.2">
      <c r="A13" s="645" t="s">
        <v>155</v>
      </c>
      <c r="B13" s="657"/>
      <c r="C13" s="647">
        <f>'[4] FOCO INCREMENTO'!C16+'[4] FOCO ESTIMACION'!C16</f>
        <v>211173.39319915246</v>
      </c>
      <c r="D13" s="647">
        <f>'[4] FOCO INCREMENTO'!D16+'[4] FOCO ESTIMACION'!D16</f>
        <v>212851.63404335736</v>
      </c>
      <c r="E13" s="647">
        <f>'[4] FOCO INCREMENTO'!E16+'[4] FOCO ESTIMACION'!E16</f>
        <v>190420.91243974486</v>
      </c>
      <c r="F13" s="647">
        <f>'[4] FOCO INCREMENTO'!F16+'[4] FOCO ESTIMACION'!F16</f>
        <v>214244.22347089899</v>
      </c>
      <c r="G13" s="647">
        <f>'[4] FOCO INCREMENTO'!G16+'[4] FOCO ESTIMACION'!G16</f>
        <v>203644.37281966404</v>
      </c>
      <c r="H13" s="647">
        <f>'[4] FOCO INCREMENTO'!H16+'[4] FOCO ESTIMACION'!H16</f>
        <v>217478.27232058064</v>
      </c>
      <c r="I13" s="647">
        <f>'[4] FOCO INCREMENTO'!I16+'[4] FOCO ESTIMACION'!I16</f>
        <v>201212.12012910549</v>
      </c>
      <c r="J13" s="647">
        <f>'[4] FOCO INCREMENTO'!J16+'[4] FOCO ESTIMACION'!J16</f>
        <v>206466.88343932666</v>
      </c>
      <c r="K13" s="647">
        <f>'[4] FOCO INCREMENTO'!K16+'[4] FOCO ESTIMACION'!K16</f>
        <v>203435.50232384904</v>
      </c>
      <c r="L13" s="647">
        <f>'[4] FOCO INCREMENTO'!L16+'[4] FOCO ESTIMACION'!L16</f>
        <v>188216.60578401005</v>
      </c>
      <c r="M13" s="647">
        <f>'[4] FOCO INCREMENTO'!M16+'[4] FOCO ESTIMACION'!M16</f>
        <v>198328.71523021645</v>
      </c>
      <c r="N13" s="647">
        <f>'[4] FOCO INCREMENTO'!N16+'[4] FOCO ESTIMACION'!N16</f>
        <v>205707.89194817905</v>
      </c>
      <c r="O13" s="648">
        <f t="shared" si="0"/>
        <v>2453180.5271480847</v>
      </c>
      <c r="P13" s="649"/>
    </row>
    <row r="14" spans="1:17" ht="12.75" customHeight="1" x14ac:dyDescent="0.2">
      <c r="A14" s="645" t="s">
        <v>156</v>
      </c>
      <c r="B14" s="657"/>
      <c r="C14" s="647">
        <f>'[4] FOCO INCREMENTO'!C17+'[4] FOCO ESTIMACION'!C17</f>
        <v>362749.75476246886</v>
      </c>
      <c r="D14" s="647">
        <f>'[4] FOCO INCREMENTO'!D17+'[4] FOCO ESTIMACION'!D17</f>
        <v>365328.42657435418</v>
      </c>
      <c r="E14" s="647">
        <f>'[4] FOCO INCREMENTO'!E17+'[4] FOCO ESTIMACION'!E17</f>
        <v>368647.04557774641</v>
      </c>
      <c r="F14" s="647">
        <f>'[4] FOCO INCREMENTO'!F17+'[4] FOCO ESTIMACION'!F17</f>
        <v>382188.07818719157</v>
      </c>
      <c r="G14" s="647">
        <f>'[4] FOCO INCREMENTO'!G17+'[4] FOCO ESTIMACION'!G17</f>
        <v>385313.9982969485</v>
      </c>
      <c r="H14" s="647">
        <f>'[4] FOCO INCREMENTO'!H17+'[4] FOCO ESTIMACION'!H17</f>
        <v>389902.15348591068</v>
      </c>
      <c r="I14" s="647">
        <f>'[4] FOCO INCREMENTO'!I17+'[4] FOCO ESTIMACION'!I17</f>
        <v>382310.13323772058</v>
      </c>
      <c r="J14" s="647">
        <f>'[4] FOCO INCREMENTO'!J17+'[4] FOCO ESTIMACION'!J17</f>
        <v>385576.35417967639</v>
      </c>
      <c r="K14" s="647">
        <f>'[4] FOCO INCREMENTO'!K17+'[4] FOCO ESTIMACION'!K17</f>
        <v>373685.64819216164</v>
      </c>
      <c r="L14" s="647">
        <f>'[4] FOCO INCREMENTO'!L17+'[4] FOCO ESTIMACION'!L17</f>
        <v>369952.86852338718</v>
      </c>
      <c r="M14" s="647">
        <f>'[4] FOCO INCREMENTO'!M17+'[4] FOCO ESTIMACION'!M17</f>
        <v>371710.8096164937</v>
      </c>
      <c r="N14" s="647">
        <f>'[4] FOCO INCREMENTO'!N17+'[4] FOCO ESTIMACION'!N17</f>
        <v>327546.49027063942</v>
      </c>
      <c r="O14" s="648">
        <f t="shared" si="0"/>
        <v>4464911.7609046986</v>
      </c>
      <c r="P14" s="649"/>
    </row>
    <row r="15" spans="1:17" ht="12.75" customHeight="1" x14ac:dyDescent="0.2">
      <c r="A15" s="645" t="s">
        <v>157</v>
      </c>
      <c r="B15" s="657"/>
      <c r="C15" s="647">
        <f>'[4] FOCO INCREMENTO'!C18+'[4] FOCO ESTIMACION'!C18</f>
        <v>216262.67584227401</v>
      </c>
      <c r="D15" s="647">
        <f>'[4] FOCO INCREMENTO'!D18+'[4] FOCO ESTIMACION'!D18</f>
        <v>217921.10448853194</v>
      </c>
      <c r="E15" s="647">
        <f>'[4] FOCO INCREMENTO'!E18+'[4] FOCO ESTIMACION'!E18</f>
        <v>203240.21502094792</v>
      </c>
      <c r="F15" s="647">
        <f>'[4] FOCO INCREMENTO'!F18+'[4] FOCO ESTIMACION'!F18</f>
        <v>222213.26031237282</v>
      </c>
      <c r="G15" s="647">
        <f>'[4] FOCO INCREMENTO'!G18+'[4] FOCO ESTIMACION'!G18</f>
        <v>215584.24147516565</v>
      </c>
      <c r="H15" s="647">
        <f>'[4] FOCO INCREMENTO'!H18+'[4] FOCO ESTIMACION'!H18</f>
        <v>225952.88484358616</v>
      </c>
      <c r="I15" s="647">
        <f>'[4] FOCO INCREMENTO'!I18+'[4] FOCO ESTIMACION'!I18</f>
        <v>213325.9828376252</v>
      </c>
      <c r="J15" s="647">
        <f>'[4] FOCO INCREMENTO'!J18+'[4] FOCO ESTIMACION'!J18</f>
        <v>217566.2694451104</v>
      </c>
      <c r="K15" s="647">
        <f>'[4] FOCO INCREMENTO'!K18+'[4] FOCO ESTIMACION'!K18</f>
        <v>213137.8414201191</v>
      </c>
      <c r="L15" s="647">
        <f>'[4] FOCO INCREMENTO'!L18+'[4] FOCO ESTIMACION'!L18</f>
        <v>201991.57563331269</v>
      </c>
      <c r="M15" s="647">
        <f>'[4] FOCO INCREMENTO'!M18+'[4] FOCO ESTIMACION'!M18</f>
        <v>209254.56460088139</v>
      </c>
      <c r="N15" s="647">
        <f>'[4] FOCO INCREMENTO'!N18+'[4] FOCO ESTIMACION'!N18</f>
        <v>205551.56600233438</v>
      </c>
      <c r="O15" s="648">
        <f t="shared" si="0"/>
        <v>2562002.1819222616</v>
      </c>
      <c r="P15" s="649"/>
    </row>
    <row r="16" spans="1:17" ht="12.75" customHeight="1" x14ac:dyDescent="0.2">
      <c r="A16" s="645" t="s">
        <v>158</v>
      </c>
      <c r="B16" s="657"/>
      <c r="C16" s="647">
        <f>'[4] FOCO INCREMENTO'!C19+'[4] FOCO ESTIMACION'!C19</f>
        <v>274192.05874801276</v>
      </c>
      <c r="D16" s="647">
        <f>'[4] FOCO INCREMENTO'!D19+'[4] FOCO ESTIMACION'!D19</f>
        <v>276261.2937308129</v>
      </c>
      <c r="E16" s="647">
        <f>'[4] FOCO INCREMENTO'!E19+'[4] FOCO ESTIMACION'!E19</f>
        <v>262247.27858993516</v>
      </c>
      <c r="F16" s="647">
        <f>'[4] FOCO INCREMENTO'!F19+'[4] FOCO ESTIMACION'!F19</f>
        <v>283293.1833161026</v>
      </c>
      <c r="G16" s="647">
        <f>'[4] FOCO INCREMENTO'!G19+'[4] FOCO ESTIMACION'!G19</f>
        <v>277233.15124686155</v>
      </c>
      <c r="H16" s="647">
        <f>'[4] FOCO INCREMENTO'!H19+'[4] FOCO ESTIMACION'!H19</f>
        <v>288271.77031055721</v>
      </c>
      <c r="I16" s="647">
        <f>'[4] FOCO INCREMENTO'!I19+'[4] FOCO ESTIMACION'!I19</f>
        <v>274499.03119227302</v>
      </c>
      <c r="J16" s="647">
        <f>'[4] FOCO INCREMENTO'!J19+'[4] FOCO ESTIMACION'!J19</f>
        <v>279242.07323486469</v>
      </c>
      <c r="K16" s="647">
        <f>'[4] FOCO INCREMENTO'!K19+'[4] FOCO ESTIMACION'!K19</f>
        <v>272892.89269835327</v>
      </c>
      <c r="L16" s="647">
        <f>'[4] FOCO INCREMENTO'!L19+'[4] FOCO ESTIMACION'!L19</f>
        <v>261223.83187463079</v>
      </c>
      <c r="M16" s="647">
        <f>'[4] FOCO INCREMENTO'!M19+'[4] FOCO ESTIMACION'!M19</f>
        <v>268716.48103113833</v>
      </c>
      <c r="N16" s="647">
        <f>'[4] FOCO INCREMENTO'!N19+'[4] FOCO ESTIMACION'!N19</f>
        <v>257774.70750365214</v>
      </c>
      <c r="O16" s="648">
        <f t="shared" si="0"/>
        <v>3275847.7534771943</v>
      </c>
      <c r="P16" s="649"/>
    </row>
    <row r="17" spans="1:16" ht="12.75" customHeight="1" x14ac:dyDescent="0.2">
      <c r="A17" s="645" t="s">
        <v>285</v>
      </c>
      <c r="B17" s="657"/>
      <c r="C17" s="647">
        <f>'[4] FOCO INCREMENTO'!C20+'[4] FOCO ESTIMACION'!C20</f>
        <v>168369.18253523775</v>
      </c>
      <c r="D17" s="647">
        <f>'[4] FOCO INCREMENTO'!D20+'[4] FOCO ESTIMACION'!D20</f>
        <v>169994.51604787685</v>
      </c>
      <c r="E17" s="647">
        <f>'[4] FOCO INCREMENTO'!E20+'[4] FOCO ESTIMACION'!E20</f>
        <v>112587.56716776869</v>
      </c>
      <c r="F17" s="647">
        <f>'[4] FOCO INCREMENTO'!F20+'[4] FOCO ESTIMACION'!F20</f>
        <v>157441.73275838856</v>
      </c>
      <c r="G17" s="647">
        <f>'[4] FOCO INCREMENTO'!G20+'[4] FOCO ESTIMACION'!G20</f>
        <v>128842.46466456076</v>
      </c>
      <c r="H17" s="647">
        <f>'[4] FOCO INCREMENTO'!H20+'[4] FOCO ESTIMACION'!H20</f>
        <v>157981.58605880657</v>
      </c>
      <c r="I17" s="647">
        <f>'[4] FOCO INCREMENTO'!I20+'[4] FOCO ESTIMACION'!I20</f>
        <v>125794.29452279361</v>
      </c>
      <c r="J17" s="647">
        <f>'[4] FOCO INCREMENTO'!J20+'[4] FOCO ESTIMACION'!J20</f>
        <v>135423.97571846531</v>
      </c>
      <c r="K17" s="647">
        <f>'[4] FOCO INCREMENTO'!K20+'[4] FOCO ESTIMACION'!K20</f>
        <v>139318.90368970699</v>
      </c>
      <c r="L17" s="647">
        <f>'[4] FOCO INCREMENTO'!L20+'[4] FOCO ESTIMACION'!L20</f>
        <v>106020.8592911384</v>
      </c>
      <c r="M17" s="647">
        <f>'[4] FOCO INCREMENTO'!M20+'[4] FOCO ESTIMACION'!M20</f>
        <v>128827.68037865395</v>
      </c>
      <c r="N17" s="647">
        <f>'[4] FOCO INCREMENTO'!N20+'[4] FOCO ESTIMACION'!N20</f>
        <v>188390.95779910067</v>
      </c>
      <c r="O17" s="648">
        <f t="shared" si="0"/>
        <v>1718993.7206324982</v>
      </c>
      <c r="P17" s="649"/>
    </row>
    <row r="18" spans="1:16" ht="12.75" customHeight="1" x14ac:dyDescent="0.2">
      <c r="A18" s="645" t="s">
        <v>286</v>
      </c>
      <c r="B18" s="657"/>
      <c r="C18" s="647">
        <f>'[4] FOCO INCREMENTO'!C21+'[4] FOCO ESTIMACION'!C21</f>
        <v>198394.74342085869</v>
      </c>
      <c r="D18" s="647">
        <f>'[4] FOCO INCREMENTO'!D21+'[4] FOCO ESTIMACION'!D21</f>
        <v>199943.37561179919</v>
      </c>
      <c r="E18" s="647">
        <f>'[4] FOCO INCREMENTO'!E21+'[4] FOCO ESTIMACION'!E21</f>
        <v>182729.72243924619</v>
      </c>
      <c r="F18" s="647">
        <f>'[4] FOCO INCREMENTO'!F21+'[4] FOCO ESTIMACION'!F21</f>
        <v>202586.00785245071</v>
      </c>
      <c r="G18" s="647">
        <f>'[4] FOCO INCREMENTO'!G21+'[4] FOCO ESTIMACION'!G21</f>
        <v>194595.19422602394</v>
      </c>
      <c r="H18" s="647">
        <f>'[4] FOCO INCREMENTO'!H21+'[4] FOCO ESTIMACION'!H21</f>
        <v>205823.44798842364</v>
      </c>
      <c r="I18" s="647">
        <f>'[4] FOCO INCREMENTO'!I21+'[4] FOCO ESTIMACION'!I21</f>
        <v>192418.41920854413</v>
      </c>
      <c r="J18" s="647">
        <f>'[4] FOCO INCREMENTO'!J21+'[4] FOCO ESTIMACION'!J21</f>
        <v>196823.93905012784</v>
      </c>
      <c r="K18" s="647">
        <f>'[4] FOCO INCREMENTO'!K21+'[4] FOCO ESTIMACION'!K21</f>
        <v>193359.59081034412</v>
      </c>
      <c r="L18" s="647">
        <f>'[4] FOCO INCREMENTO'!L21+'[4] FOCO ESTIMACION'!L21</f>
        <v>181128.46206910201</v>
      </c>
      <c r="M18" s="647">
        <f>'[4] FOCO INCREMENTO'!M21+'[4] FOCO ESTIMACION'!M21</f>
        <v>189188.75119316691</v>
      </c>
      <c r="N18" s="647">
        <f>'[4] FOCO INCREMENTO'!N21+'[4] FOCO ESTIMACION'!N21</f>
        <v>190879.12494086992</v>
      </c>
      <c r="O18" s="648">
        <f t="shared" si="0"/>
        <v>2327870.778810957</v>
      </c>
      <c r="P18" s="649"/>
    </row>
    <row r="19" spans="1:16" ht="12.75" customHeight="1" x14ac:dyDescent="0.2">
      <c r="A19" s="645" t="s">
        <v>287</v>
      </c>
      <c r="B19" s="657"/>
      <c r="C19" s="647">
        <f>'[4] FOCO INCREMENTO'!C22+'[4] FOCO ESTIMACION'!C22</f>
        <v>637279.876508596</v>
      </c>
      <c r="D19" s="647">
        <f>'[4] FOCO INCREMENTO'!D22+'[4] FOCO ESTIMACION'!D22</f>
        <v>641889.33767879708</v>
      </c>
      <c r="E19" s="647">
        <f>'[4] FOCO INCREMENTO'!E22+'[4] FOCO ESTIMACION'!E22</f>
        <v>636817.10813882633</v>
      </c>
      <c r="F19" s="647">
        <f>'[4] FOCO INCREMENTO'!F22+'[4] FOCO ESTIMACION'!F22</f>
        <v>667739.45692027162</v>
      </c>
      <c r="G19" s="647">
        <f>'[4] FOCO INCREMENTO'!G22+'[4] FOCO ESTIMACION'!G22</f>
        <v>667673.26053620619</v>
      </c>
      <c r="H19" s="647">
        <f>'[4] FOCO INCREMENTO'!H22+'[4] FOCO ESTIMACION'!H22</f>
        <v>680729.20225750108</v>
      </c>
      <c r="I19" s="647">
        <f>'[4] FOCO INCREMENTO'!I22+'[4] FOCO ESTIMACION'!I22</f>
        <v>662090.16332464595</v>
      </c>
      <c r="J19" s="647">
        <f>'[4] FOCO INCREMENTO'!J22+'[4] FOCO ESTIMACION'!J22</f>
        <v>669328.90691099211</v>
      </c>
      <c r="K19" s="647">
        <f>'[4] FOCO INCREMENTO'!K22+'[4] FOCO ESTIMACION'!K22</f>
        <v>650180.40522796602</v>
      </c>
      <c r="L19" s="647">
        <f>'[4] FOCO INCREMENTO'!L22+'[4] FOCO ESTIMACION'!L22</f>
        <v>637784.56116318586</v>
      </c>
      <c r="M19" s="647">
        <f>'[4] FOCO INCREMENTO'!M22+'[4] FOCO ESTIMACION'!M22</f>
        <v>644940.16426424088</v>
      </c>
      <c r="N19" s="647">
        <f>'[4] FOCO INCREMENTO'!N22+'[4] FOCO ESTIMACION'!N22</f>
        <v>582159.74549378653</v>
      </c>
      <c r="O19" s="648">
        <f t="shared" si="0"/>
        <v>7778612.1884250157</v>
      </c>
      <c r="P19" s="649"/>
    </row>
    <row r="20" spans="1:16" ht="12.75" customHeight="1" x14ac:dyDescent="0.2">
      <c r="A20" s="645" t="s">
        <v>162</v>
      </c>
      <c r="B20" s="657"/>
      <c r="C20" s="647">
        <f>'[4] FOCO INCREMENTO'!C23+'[4] FOCO ESTIMACION'!C23</f>
        <v>337879.70151730324</v>
      </c>
      <c r="D20" s="647">
        <f>'[4] FOCO INCREMENTO'!D23+'[4] FOCO ESTIMACION'!D23</f>
        <v>340324.81281794817</v>
      </c>
      <c r="E20" s="647">
        <f>'[4] FOCO INCREMENTO'!E23+'[4] FOCO ESTIMACION'!E23</f>
        <v>337467.84817407792</v>
      </c>
      <c r="F20" s="647">
        <f>'[4] FOCO INCREMENTO'!F23+'[4] FOCO ESTIMACION'!F23</f>
        <v>353972.31909494393</v>
      </c>
      <c r="G20" s="647">
        <f>'[4] FOCO INCREMENTO'!G23+'[4] FOCO ESTIMACION'!G23</f>
        <v>353851.72359519941</v>
      </c>
      <c r="H20" s="647">
        <f>'[4] FOCO INCREMENTO'!H23+'[4] FOCO ESTIMACION'!H23</f>
        <v>360850.70680220856</v>
      </c>
      <c r="I20" s="647">
        <f>'[4] FOCO INCREMENTO'!I23+'[4] FOCO ESTIMACION'!I23</f>
        <v>350886.91301523236</v>
      </c>
      <c r="J20" s="647">
        <f>'[4] FOCO INCREMENTO'!J23+'[4] FOCO ESTIMACION'!J23</f>
        <v>354747.91075814457</v>
      </c>
      <c r="K20" s="647">
        <f>'[4] FOCO INCREMENTO'!K23+'[4] FOCO ESTIMACION'!K23</f>
        <v>344622.34276456496</v>
      </c>
      <c r="L20" s="647">
        <f>'[4] FOCO INCREMENTO'!L23+'[4] FOCO ESTIMACION'!L23</f>
        <v>337960.37444248161</v>
      </c>
      <c r="M20" s="647">
        <f>'[4] FOCO INCREMENTO'!M23+'[4] FOCO ESTIMACION'!M23</f>
        <v>341816.77536440716</v>
      </c>
      <c r="N20" s="647">
        <f>'[4] FOCO INCREMENTO'!N23+'[4] FOCO ESTIMACION'!N23</f>
        <v>308758.98990534758</v>
      </c>
      <c r="O20" s="648">
        <f t="shared" si="0"/>
        <v>4123140.4182518595</v>
      </c>
      <c r="P20" s="649"/>
    </row>
    <row r="21" spans="1:16" ht="12.75" customHeight="1" x14ac:dyDescent="0.2">
      <c r="A21" s="645" t="s">
        <v>163</v>
      </c>
      <c r="B21" s="657"/>
      <c r="C21" s="647">
        <f>'[4] FOCO INCREMENTO'!C24+'[4] FOCO ESTIMACION'!C24</f>
        <v>2236911.5451440504</v>
      </c>
      <c r="D21" s="647">
        <f>'[4] FOCO INCREMENTO'!D24+'[4] FOCO ESTIMACION'!D24</f>
        <v>2253409.3547156453</v>
      </c>
      <c r="E21" s="647">
        <f>'[4] FOCO INCREMENTO'!E24+'[4] FOCO ESTIMACION'!E24</f>
        <v>2191830.4002508712</v>
      </c>
      <c r="F21" s="647">
        <f>'[4] FOCO INCREMENTO'!F24+'[4] FOCO ESTIMACION'!F24</f>
        <v>2329012.6221805741</v>
      </c>
      <c r="G21" s="647">
        <f>'[4] FOCO INCREMENTO'!G24+'[4] FOCO ESTIMACION'!G24</f>
        <v>2306464.6597708012</v>
      </c>
      <c r="H21" s="647">
        <f>'[4] FOCO INCREMENTO'!H24+'[4] FOCO ESTIMACION'!H24</f>
        <v>2372349.8401521686</v>
      </c>
      <c r="I21" s="647">
        <f>'[4] FOCO INCREMENTO'!I24+'[4] FOCO ESTIMACION'!I24</f>
        <v>2285639.2377193514</v>
      </c>
      <c r="J21" s="647">
        <f>'[4] FOCO INCREMENTO'!J24+'[4] FOCO ESTIMACION'!J24</f>
        <v>2317073.2126520276</v>
      </c>
      <c r="K21" s="647">
        <f>'[4] FOCO INCREMENTO'!K24+'[4] FOCO ESTIMACION'!K24</f>
        <v>2256851.1157179568</v>
      </c>
      <c r="L21" s="647">
        <f>'[4] FOCO INCREMENTO'!L24+'[4] FOCO ESTIMACION'!L24</f>
        <v>2189899.6412557503</v>
      </c>
      <c r="M21" s="647">
        <f>'[4] FOCO INCREMENTO'!M24+'[4] FOCO ESTIMACION'!M24</f>
        <v>2231347.1639124178</v>
      </c>
      <c r="N21" s="647">
        <f>'[4] FOCO INCREMENTO'!N24+'[4] FOCO ESTIMACION'!N24</f>
        <v>2070437.0785207015</v>
      </c>
      <c r="O21" s="648">
        <f t="shared" si="0"/>
        <v>27041225.871992316</v>
      </c>
      <c r="P21" s="649"/>
    </row>
    <row r="22" spans="1:16" ht="12.75" customHeight="1" x14ac:dyDescent="0.2">
      <c r="A22" s="645" t="s">
        <v>164</v>
      </c>
      <c r="B22" s="657"/>
      <c r="C22" s="647">
        <f>'[4] FOCO INCREMENTO'!C25+'[4] FOCO ESTIMACION'!C25</f>
        <v>226321.55528975671</v>
      </c>
      <c r="D22" s="647">
        <f>'[4] FOCO INCREMENTO'!D25+'[4] FOCO ESTIMACION'!D25</f>
        <v>228048.68741470721</v>
      </c>
      <c r="E22" s="647">
        <f>'[4] FOCO INCREMENTO'!E25+'[4] FOCO ESTIMACION'!E25</f>
        <v>213845.30993281701</v>
      </c>
      <c r="F22" s="647">
        <f>'[4] FOCO INCREMENTO'!F25+'[4] FOCO ESTIMACION'!F25</f>
        <v>232941.61713395658</v>
      </c>
      <c r="G22" s="647">
        <f>'[4] FOCO INCREMENTO'!G25+'[4] FOCO ESTIMACION'!G25</f>
        <v>226595.79286355968</v>
      </c>
      <c r="H22" s="647">
        <f>'[4] FOCO INCREMENTO'!H25+'[4] FOCO ESTIMACION'!H25</f>
        <v>236915.03353808116</v>
      </c>
      <c r="I22" s="647">
        <f>'[4] FOCO INCREMENTO'!I25+'[4] FOCO ESTIMACION'!I25</f>
        <v>224265.05444790859</v>
      </c>
      <c r="J22" s="647">
        <f>'[4] FOCO INCREMENTO'!J25+'[4] FOCO ESTIMACION'!J25</f>
        <v>228542.85209447177</v>
      </c>
      <c r="K22" s="647">
        <f>'[4] FOCO INCREMENTO'!K25+'[4] FOCO ESTIMACION'!K25</f>
        <v>223723.1373924184</v>
      </c>
      <c r="L22" s="647">
        <f>'[4] FOCO INCREMENTO'!L25+'[4] FOCO ESTIMACION'!L25</f>
        <v>212679.78724376185</v>
      </c>
      <c r="M22" s="647">
        <f>'[4] FOCO INCREMENTO'!M25+'[4] FOCO ESTIMACION'!M25</f>
        <v>219847.71279347118</v>
      </c>
      <c r="N22" s="647">
        <f>'[4] FOCO INCREMENTO'!N25+'[4] FOCO ESTIMACION'!N25</f>
        <v>214396.48950518662</v>
      </c>
      <c r="O22" s="648">
        <f t="shared" si="0"/>
        <v>2688123.0296500972</v>
      </c>
      <c r="P22" s="649"/>
    </row>
    <row r="23" spans="1:16" ht="12.75" customHeight="1" thickBot="1" x14ac:dyDescent="0.25">
      <c r="A23" s="645" t="s">
        <v>165</v>
      </c>
      <c r="B23" s="658"/>
      <c r="C23" s="647">
        <f>'[4] FOCO INCREMENTO'!C26+'[4] FOCO ESTIMACION'!C26</f>
        <v>316677.92014081427</v>
      </c>
      <c r="D23" s="647">
        <f>'[4] FOCO INCREMENTO'!D26+'[4] FOCO ESTIMACION'!D26</f>
        <v>319074.88842420722</v>
      </c>
      <c r="E23" s="647">
        <f>'[4] FOCO INCREMENTO'!E26+'[4] FOCO ESTIMACION'!E26</f>
        <v>301911.63684907235</v>
      </c>
      <c r="F23" s="647">
        <f>'[4] FOCO INCREMENTO'!F26+'[4] FOCO ESTIMACION'!F26</f>
        <v>326858.34634578915</v>
      </c>
      <c r="G23" s="647">
        <f>'[4] FOCO INCREMENTO'!G26+'[4] FOCO ESTIMACION'!G26</f>
        <v>319360.86638977705</v>
      </c>
      <c r="H23" s="647">
        <f>'[4] FOCO INCREMENTO'!H26+'[4] FOCO ESTIMACION'!H26</f>
        <v>332557.92633437424</v>
      </c>
      <c r="I23" s="647">
        <f>'[4] FOCO INCREMENTO'!I26+'[4] FOCO ESTIMACION'!I26</f>
        <v>316175.66211982671</v>
      </c>
      <c r="J23" s="647">
        <f>'[4] FOCO INCREMENTO'!J26+'[4] FOCO ESTIMACION'!J26</f>
        <v>321788.21888827981</v>
      </c>
      <c r="K23" s="647">
        <f>'[4] FOCO INCREMENTO'!K26+'[4] FOCO ESTIMACION'!K26</f>
        <v>314611.38943959837</v>
      </c>
      <c r="L23" s="647">
        <f>'[4] FOCO INCREMENTO'!L26+'[4] FOCO ESTIMACION'!L26</f>
        <v>300610.63054300647</v>
      </c>
      <c r="M23" s="647">
        <f>'[4] FOCO INCREMENTO'!M26+'[4] FOCO ESTIMACION'!M26</f>
        <v>309629.02910593851</v>
      </c>
      <c r="N23" s="647">
        <f>'[4] FOCO INCREMENTO'!N26+'[4] FOCO ESTIMACION'!N26</f>
        <v>298319.84658681002</v>
      </c>
      <c r="O23" s="648">
        <f t="shared" si="0"/>
        <v>3777576.3611674942</v>
      </c>
      <c r="P23" s="649"/>
    </row>
    <row r="24" spans="1:16" ht="13.5" thickBot="1" x14ac:dyDescent="0.25">
      <c r="A24" s="650" t="s">
        <v>288</v>
      </c>
      <c r="B24" s="651">
        <f>SUM(B4:B23)</f>
        <v>0</v>
      </c>
      <c r="C24" s="652">
        <f>SUM(C4:C23)</f>
        <v>8049883.0500000007</v>
      </c>
      <c r="D24" s="652">
        <f t="shared" ref="D24:N24" si="1">SUM(D4:D23)</f>
        <v>8110499.4000000013</v>
      </c>
      <c r="E24" s="652">
        <f t="shared" si="1"/>
        <v>7717421.9249999998</v>
      </c>
      <c r="F24" s="652">
        <f t="shared" si="1"/>
        <v>8323290.4500000002</v>
      </c>
      <c r="G24" s="652">
        <f t="shared" si="1"/>
        <v>8154733.0499999989</v>
      </c>
      <c r="H24" s="652">
        <f t="shared" si="1"/>
        <v>8470401.3000000007</v>
      </c>
      <c r="I24" s="652">
        <f t="shared" si="1"/>
        <v>8074978.1999999993</v>
      </c>
      <c r="J24" s="652">
        <f t="shared" si="1"/>
        <v>8211700.7999999989</v>
      </c>
      <c r="K24" s="652">
        <f t="shared" si="1"/>
        <v>8022366.9000000013</v>
      </c>
      <c r="L24" s="652">
        <f t="shared" si="1"/>
        <v>7689608.3250000011</v>
      </c>
      <c r="M24" s="652">
        <f t="shared" si="1"/>
        <v>7902734.6250000019</v>
      </c>
      <c r="N24" s="652">
        <f t="shared" si="1"/>
        <v>7556571.8999999994</v>
      </c>
      <c r="O24" s="652">
        <f>SUM(C24:N24)</f>
        <v>96284189.925000012</v>
      </c>
    </row>
    <row r="25" spans="1:16" x14ac:dyDescent="0.2">
      <c r="A25" s="653"/>
      <c r="B25" s="653"/>
      <c r="C25" s="653"/>
      <c r="D25" s="653"/>
      <c r="E25" s="653"/>
      <c r="F25" s="653"/>
      <c r="G25" s="653"/>
      <c r="H25" s="653"/>
      <c r="I25" s="653"/>
      <c r="J25" s="653"/>
      <c r="K25" s="653"/>
      <c r="L25" s="653"/>
      <c r="M25" s="653"/>
      <c r="N25" s="653"/>
      <c r="O25" s="653"/>
    </row>
    <row r="26" spans="1:16" x14ac:dyDescent="0.2">
      <c r="A26" s="654" t="s">
        <v>289</v>
      </c>
      <c r="O26" s="649"/>
    </row>
  </sheetData>
  <mergeCells count="1">
    <mergeCell ref="A1:O1"/>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tabColor theme="4" tint="0.39997558519241921"/>
  </sheetPr>
  <dimension ref="A1:Q26"/>
  <sheetViews>
    <sheetView workbookViewId="0">
      <selection activeCell="D8" sqref="D8"/>
    </sheetView>
  </sheetViews>
  <sheetFormatPr baseColWidth="10" defaultRowHeight="12.75" x14ac:dyDescent="0.2"/>
  <cols>
    <col min="1" max="1" width="16.85546875" style="640" customWidth="1"/>
    <col min="2" max="2" width="9.28515625" style="640" hidden="1" customWidth="1"/>
    <col min="3" max="10" width="7.85546875" style="640" customWidth="1"/>
    <col min="11" max="11" width="9.42578125" style="640" customWidth="1"/>
    <col min="12" max="12" width="7.85546875" style="640" customWidth="1"/>
    <col min="13" max="13" width="9.42578125" style="640" customWidth="1"/>
    <col min="14" max="14" width="8.5703125" style="640" customWidth="1"/>
    <col min="15" max="15" width="8.7109375" style="640" bestFit="1" customWidth="1"/>
    <col min="16" max="16" width="11.7109375" style="640" bestFit="1" customWidth="1"/>
    <col min="17" max="16384" width="11.42578125" style="640"/>
  </cols>
  <sheetData>
    <row r="1" spans="1:16" x14ac:dyDescent="0.2">
      <c r="A1" s="1237" t="s">
        <v>387</v>
      </c>
      <c r="B1" s="1237"/>
      <c r="C1" s="1237"/>
      <c r="D1" s="1237"/>
      <c r="E1" s="1237"/>
      <c r="F1" s="1237"/>
      <c r="G1" s="1237"/>
      <c r="H1" s="1237"/>
      <c r="I1" s="1237"/>
      <c r="J1" s="1237"/>
      <c r="K1" s="1237"/>
      <c r="L1" s="1237"/>
      <c r="M1" s="1237"/>
      <c r="N1" s="1237"/>
      <c r="O1" s="1237"/>
    </row>
    <row r="2" spans="1:16" ht="13.5" thickBot="1" x14ac:dyDescent="0.25"/>
    <row r="3" spans="1:16" ht="23.25" thickBot="1" x14ac:dyDescent="0.25">
      <c r="A3" s="641" t="s">
        <v>346</v>
      </c>
      <c r="B3" s="642" t="s">
        <v>281</v>
      </c>
      <c r="C3" s="641" t="s">
        <v>1</v>
      </c>
      <c r="D3" s="643" t="s">
        <v>2</v>
      </c>
      <c r="E3" s="641" t="s">
        <v>3</v>
      </c>
      <c r="F3" s="643" t="s">
        <v>4</v>
      </c>
      <c r="G3" s="641" t="s">
        <v>5</v>
      </c>
      <c r="H3" s="641" t="s">
        <v>6</v>
      </c>
      <c r="I3" s="641" t="s">
        <v>7</v>
      </c>
      <c r="J3" s="643" t="s">
        <v>8</v>
      </c>
      <c r="K3" s="641" t="s">
        <v>9</v>
      </c>
      <c r="L3" s="643" t="s">
        <v>10</v>
      </c>
      <c r="M3" s="641" t="s">
        <v>11</v>
      </c>
      <c r="N3" s="641" t="s">
        <v>12</v>
      </c>
      <c r="O3" s="644" t="s">
        <v>168</v>
      </c>
    </row>
    <row r="4" spans="1:16" ht="12.75" customHeight="1" x14ac:dyDescent="0.2">
      <c r="A4" s="645" t="s">
        <v>282</v>
      </c>
      <c r="B4" s="656"/>
      <c r="C4" s="647">
        <f>[4]IEPSGASINCREMENTO!C7+'[4]IEPSGAS ESTIMACIONES'!C7</f>
        <v>158003.16191889267</v>
      </c>
      <c r="D4" s="647">
        <f>[4]IEPSGASINCREMENTO!D7+'[4]IEPSGAS ESTIMACIONES'!D7</f>
        <v>159173.21571353698</v>
      </c>
      <c r="E4" s="647">
        <f>[4]IEPSGASINCREMENTO!E7+'[4]IEPSGAS ESTIMACIONES'!E7</f>
        <v>154171.52363969112</v>
      </c>
      <c r="F4" s="647">
        <f>[4]IEPSGASINCREMENTO!F7+'[4]IEPSGAS ESTIMACIONES'!F7</f>
        <v>164287.98695899823</v>
      </c>
      <c r="G4" s="647">
        <f>[4]IEPSGASINCREMENTO!G7+'[4]IEPSGAS ESTIMACIONES'!G7</f>
        <v>162362.89788612153</v>
      </c>
      <c r="H4" s="647">
        <f>[4]IEPSGASINCREMENTO!H7+'[4]IEPSGAS ESTIMACIONES'!H7</f>
        <v>167315.45673259062</v>
      </c>
      <c r="I4" s="647">
        <f>[4]IEPSGASINCREMENTO!I7+'[4]IEPSGAS ESTIMACIONES'!I7</f>
        <v>160873.6114335173</v>
      </c>
      <c r="J4" s="647">
        <f>[4]IEPSGASINCREMENTO!J7+'[4]IEPSGAS ESTIMACIONES'!J7</f>
        <v>163183.68391553813</v>
      </c>
      <c r="K4" s="647">
        <f>[4]IEPSGASINCREMENTO!K7+'[4]IEPSGAS ESTIMACIONES'!K7</f>
        <v>159034.06965854272</v>
      </c>
      <c r="L4" s="647">
        <f>[4]IEPSGASINCREMENTO!L7+'[4]IEPSGAS ESTIMACIONES'!L7</f>
        <v>153955.79267953325</v>
      </c>
      <c r="M4" s="647">
        <f>[4]IEPSGASINCREMENTO!M7+'[4]IEPSGAS ESTIMACIONES'!M7</f>
        <v>157126.69362675384</v>
      </c>
      <c r="N4" s="647">
        <f>[4]IEPSGASINCREMENTO!N7+'[4]IEPSGAS ESTIMACIONES'!N7</f>
        <v>146646.55149290251</v>
      </c>
      <c r="O4" s="648">
        <f>SUM(C4:N4)</f>
        <v>1906134.645656619</v>
      </c>
      <c r="P4" s="649"/>
    </row>
    <row r="5" spans="1:16" ht="12.75" customHeight="1" x14ac:dyDescent="0.2">
      <c r="A5" s="645" t="s">
        <v>147</v>
      </c>
      <c r="B5" s="657"/>
      <c r="C5" s="647">
        <f>[4]IEPSGASINCREMENTO!C8+'[4]IEPSGAS ESTIMACIONES'!C8</f>
        <v>65458.589763628042</v>
      </c>
      <c r="D5" s="647">
        <f>[4]IEPSGASINCREMENTO!D8+'[4]IEPSGAS ESTIMACIONES'!D8</f>
        <v>65945.904965347596</v>
      </c>
      <c r="E5" s="647">
        <f>[4]IEPSGASINCREMENTO!E8+'[4]IEPSGAS ESTIMACIONES'!E8</f>
        <v>63519.116616850064</v>
      </c>
      <c r="F5" s="647">
        <f>[4]IEPSGASINCREMENTO!F8+'[4]IEPSGAS ESTIMACIONES'!F8</f>
        <v>67942.281697750092</v>
      </c>
      <c r="G5" s="647">
        <f>[4]IEPSGASINCREMENTO!G8+'[4]IEPSGAS ESTIMACIONES'!G8</f>
        <v>66963.947231574799</v>
      </c>
      <c r="H5" s="647">
        <f>[4]IEPSGASINCREMENTO!H8+'[4]IEPSGAS ESTIMACIONES'!H8</f>
        <v>69178.227965725091</v>
      </c>
      <c r="I5" s="647">
        <f>[4]IEPSGASINCREMENTO!I8+'[4]IEPSGAS ESTIMACIONES'!I8</f>
        <v>66337.005001986079</v>
      </c>
      <c r="J5" s="647">
        <f>[4]IEPSGASINCREMENTO!J8+'[4]IEPSGAS ESTIMACIONES'!J8</f>
        <v>67342.852675681948</v>
      </c>
      <c r="K5" s="647">
        <f>[4]IEPSGASINCREMENTO!K8+'[4]IEPSGAS ESTIMACIONES'!K8</f>
        <v>65680.361947734738</v>
      </c>
      <c r="L5" s="647">
        <f>[4]IEPSGASINCREMENTO!L8+'[4]IEPSGAS ESTIMACIONES'!L8</f>
        <v>63386.587151522326</v>
      </c>
      <c r="M5" s="647">
        <f>[4]IEPSGASINCREMENTO!M8+'[4]IEPSGAS ESTIMACIONES'!M8</f>
        <v>64832.556450389777</v>
      </c>
      <c r="N5" s="647">
        <f>[4]IEPSGASINCREMENTO!N8+'[4]IEPSGAS ESTIMACIONES'!N8</f>
        <v>60972.464779506452</v>
      </c>
      <c r="O5" s="648">
        <f t="shared" ref="O5:O23" si="0">SUM(C5:N5)</f>
        <v>787559.89624769695</v>
      </c>
      <c r="P5" s="649"/>
    </row>
    <row r="6" spans="1:16" ht="12.75" customHeight="1" x14ac:dyDescent="0.2">
      <c r="A6" s="645" t="s">
        <v>148</v>
      </c>
      <c r="B6" s="657"/>
      <c r="C6" s="647">
        <f>[4]IEPSGASINCREMENTO!C9+'[4]IEPSGAS ESTIMACIONES'!C9</f>
        <v>48125.478487627683</v>
      </c>
      <c r="D6" s="647">
        <f>[4]IEPSGASINCREMENTO!D9+'[4]IEPSGAS ESTIMACIONES'!D9</f>
        <v>48484.389989804287</v>
      </c>
      <c r="E6" s="647">
        <f>[4]IEPSGASINCREMENTO!E9+'[4]IEPSGAS ESTIMACIONES'!E9</f>
        <v>46612.839107632455</v>
      </c>
      <c r="F6" s="647">
        <f>[4]IEPSGASINCREMENTO!F9+'[4]IEPSGAS ESTIMACIONES'!F9</f>
        <v>49921.934174082446</v>
      </c>
      <c r="G6" s="647">
        <f>[4]IEPSGASINCREMENTO!G9+'[4]IEPSGAS ESTIMACIONES'!G9</f>
        <v>49158.121332023744</v>
      </c>
      <c r="H6" s="647">
        <f>[4]IEPSGASINCREMENTO!H9+'[4]IEPSGAS ESTIMACIONES'!H9</f>
        <v>50826.101547345061</v>
      </c>
      <c r="I6" s="647">
        <f>[4]IEPSGASINCREMENTO!I9+'[4]IEPSGAS ESTIMACIONES'!I9</f>
        <v>48694.739060591892</v>
      </c>
      <c r="J6" s="647">
        <f>[4]IEPSGASINCREMENTO!J9+'[4]IEPSGAS ESTIMACIONES'!J9</f>
        <v>49446.268280952019</v>
      </c>
      <c r="K6" s="647">
        <f>[4]IEPSGASINCREMENTO!K9+'[4]IEPSGAS ESTIMACIONES'!K9</f>
        <v>48237.949047840186</v>
      </c>
      <c r="L6" s="647">
        <f>[4]IEPSGASINCREMENTO!L9+'[4]IEPSGAS ESTIMACIONES'!L9</f>
        <v>46504.772160810142</v>
      </c>
      <c r="M6" s="647">
        <f>[4]IEPSGASINCREMENTO!M9+'[4]IEPSGAS ESTIMACIONES'!M9</f>
        <v>47600.448032537344</v>
      </c>
      <c r="N6" s="647">
        <f>[4]IEPSGASINCREMENTO!N9+'[4]IEPSGAS ESTIMACIONES'!N9</f>
        <v>44881.147230831746</v>
      </c>
      <c r="O6" s="648">
        <f t="shared" si="0"/>
        <v>578494.18845207908</v>
      </c>
      <c r="P6" s="649"/>
    </row>
    <row r="7" spans="1:16" ht="12.75" customHeight="1" x14ac:dyDescent="0.2">
      <c r="A7" s="645" t="s">
        <v>283</v>
      </c>
      <c r="B7" s="657"/>
      <c r="C7" s="647">
        <f>[4]IEPSGASINCREMENTO!C10+'[4]IEPSGAS ESTIMACIONES'!C10</f>
        <v>461516.49954258977</v>
      </c>
      <c r="D7" s="647">
        <f>[4]IEPSGASINCREMENTO!D10+'[4]IEPSGAS ESTIMACIONES'!D10</f>
        <v>465148.47126934107</v>
      </c>
      <c r="E7" s="647">
        <f>[4]IEPSGASINCREMENTO!E10+'[4]IEPSGAS ESTIMACIONES'!E10</f>
        <v>421049.98750199331</v>
      </c>
      <c r="F7" s="647">
        <f>[4]IEPSGASINCREMENTO!F10+'[4]IEPSGAS ESTIMACIONES'!F10</f>
        <v>469894.03767144686</v>
      </c>
      <c r="G7" s="647">
        <f>[4]IEPSGASINCREMENTO!G10+'[4]IEPSGAS ESTIMACIONES'!G10</f>
        <v>449238.12855146552</v>
      </c>
      <c r="H7" s="647">
        <f>[4]IEPSGASINCREMENTO!H10+'[4]IEPSGAS ESTIMACIONES'!H10</f>
        <v>477215.97163923073</v>
      </c>
      <c r="I7" s="647">
        <f>[4]IEPSGASINCREMENTO!I10+'[4]IEPSGAS ESTIMACIONES'!I10</f>
        <v>444060.62977539864</v>
      </c>
      <c r="J7" s="647">
        <f>[4]IEPSGASINCREMENTO!J10+'[4]IEPSGAS ESTIMACIONES'!J10</f>
        <v>454867.12775422557</v>
      </c>
      <c r="K7" s="647">
        <f>[4]IEPSGASINCREMENTO!K10+'[4]IEPSGAS ESTIMACIONES'!K10</f>
        <v>447455.79918356985</v>
      </c>
      <c r="L7" s="647">
        <f>[4]IEPSGASINCREMENTO!L10+'[4]IEPSGAS ESTIMACIONES'!L10</f>
        <v>416831.58916406828</v>
      </c>
      <c r="M7" s="647">
        <f>[4]IEPSGASINCREMENTO!M10+'[4]IEPSGAS ESTIMACIONES'!M10</f>
        <v>437094.71407056204</v>
      </c>
      <c r="N7" s="647">
        <f>[4]IEPSGASINCREMENTO!N10+'[4]IEPSGAS ESTIMACIONES'!N10</f>
        <v>446534.63989518961</v>
      </c>
      <c r="O7" s="648">
        <f t="shared" si="0"/>
        <v>5390907.5960190808</v>
      </c>
      <c r="P7" s="649"/>
    </row>
    <row r="8" spans="1:16" ht="12.75" customHeight="1" x14ac:dyDescent="0.2">
      <c r="A8" s="645" t="s">
        <v>150</v>
      </c>
      <c r="B8" s="657"/>
      <c r="C8" s="647">
        <f>[4]IEPSGASINCREMENTO!C11+'[4]IEPSGAS ESTIMACIONES'!C11</f>
        <v>297283.44680235273</v>
      </c>
      <c r="D8" s="647">
        <f>[4]IEPSGASINCREMENTO!D11+'[4]IEPSGAS ESTIMACIONES'!D11</f>
        <v>299512.54818395601</v>
      </c>
      <c r="E8" s="647">
        <f>[4]IEPSGASINCREMENTO!E11+'[4]IEPSGAS ESTIMACIONES'!E11</f>
        <v>286298.6536621541</v>
      </c>
      <c r="F8" s="647">
        <f>[4]IEPSGASINCREMENTO!F11+'[4]IEPSGAS ESTIMACIONES'!F11</f>
        <v>307821.2383964748</v>
      </c>
      <c r="G8" s="647">
        <f>[4]IEPSGASINCREMENTO!G11+'[4]IEPSGAS ESTIMACIONES'!G11</f>
        <v>302260.3827585337</v>
      </c>
      <c r="H8" s="647">
        <f>[4]IEPSGASINCREMENTO!H11+'[4]IEPSGAS ESTIMACIONES'!H11</f>
        <v>313321.25537628366</v>
      </c>
      <c r="I8" s="647">
        <f>[4]IEPSGASINCREMENTO!I11+'[4]IEPSGAS ESTIMACIONES'!I11</f>
        <v>299351.57617467543</v>
      </c>
      <c r="J8" s="647">
        <f>[4]IEPSGASINCREMENTO!J11+'[4]IEPSGAS ESTIMACIONES'!J11</f>
        <v>304221.46739004867</v>
      </c>
      <c r="K8" s="647">
        <f>[4]IEPSGASINCREMENTO!K11+'[4]IEPSGAS ESTIMACIONES'!K11</f>
        <v>297021.330310071</v>
      </c>
      <c r="L8" s="647">
        <f>[4]IEPSGASINCREMENTO!L11+'[4]IEPSGAS ESTIMACIONES'!L11</f>
        <v>285429.97519951296</v>
      </c>
      <c r="M8" s="647">
        <f>[4]IEPSGASINCREMENTO!M11+'[4]IEPSGAS ESTIMACIONES'!M11</f>
        <v>292814.85745173017</v>
      </c>
      <c r="N8" s="647">
        <f>[4]IEPSGASINCREMENTO!N11+'[4]IEPSGAS ESTIMACIONES'!N11</f>
        <v>278261.92511201667</v>
      </c>
      <c r="O8" s="648">
        <f t="shared" si="0"/>
        <v>3563598.6568178097</v>
      </c>
      <c r="P8" s="649"/>
    </row>
    <row r="9" spans="1:16" ht="12.75" customHeight="1" x14ac:dyDescent="0.2">
      <c r="A9" s="645" t="s">
        <v>284</v>
      </c>
      <c r="B9" s="657"/>
      <c r="C9" s="647">
        <f>[4]IEPSGASINCREMENTO!C12+'[4]IEPSGAS ESTIMACIONES'!C12</f>
        <v>152123.16341179315</v>
      </c>
      <c r="D9" s="647">
        <f>[4]IEPSGASINCREMENTO!D12+'[4]IEPSGAS ESTIMACIONES'!D12</f>
        <v>153283.91297864259</v>
      </c>
      <c r="E9" s="647">
        <f>[4]IEPSGASINCREMENTO!E12+'[4]IEPSGAS ESTIMACIONES'!E12</f>
        <v>143757.45375581307</v>
      </c>
      <c r="F9" s="647">
        <f>[4]IEPSGASINCREMENTO!F12+'[4]IEPSGAS ESTIMACIONES'!F12</f>
        <v>156579.77771525295</v>
      </c>
      <c r="G9" s="647">
        <f>[4]IEPSGASINCREMENTO!G12+'[4]IEPSGAS ESTIMACIONES'!G12</f>
        <v>152324.80390441854</v>
      </c>
      <c r="H9" s="647">
        <f>[4]IEPSGASINCREMENTO!H12+'[4]IEPSGAS ESTIMACIONES'!H12</f>
        <v>159251.58349912107</v>
      </c>
      <c r="I9" s="647">
        <f>[4]IEPSGASINCREMENTO!I12+'[4]IEPSGAS ESTIMACIONES'!I12</f>
        <v>150758.76267360966</v>
      </c>
      <c r="J9" s="647">
        <f>[4]IEPSGASINCREMENTO!J12+'[4]IEPSGAS ESTIMACIONES'!J12</f>
        <v>153631.28906512342</v>
      </c>
      <c r="K9" s="647">
        <f>[4]IEPSGASINCREMENTO!K12+'[4]IEPSGAS ESTIMACIONES'!K12</f>
        <v>150388.43759153117</v>
      </c>
      <c r="L9" s="647">
        <f>[4]IEPSGASINCREMENTO!L12+'[4]IEPSGAS ESTIMACIONES'!L12</f>
        <v>142976.5195940999</v>
      </c>
      <c r="M9" s="647">
        <f>[4]IEPSGASINCREMENTO!M12+'[4]IEPSGAS ESTIMACIONES'!M12</f>
        <v>147786.86913485371</v>
      </c>
      <c r="N9" s="647">
        <f>[4]IEPSGASINCREMENTO!N12+'[4]IEPSGAS ESTIMACIONES'!N12</f>
        <v>144095.0727897188</v>
      </c>
      <c r="O9" s="648">
        <f t="shared" si="0"/>
        <v>1806957.6461139782</v>
      </c>
      <c r="P9" s="649"/>
    </row>
    <row r="10" spans="1:16" ht="12.75" customHeight="1" x14ac:dyDescent="0.2">
      <c r="A10" s="645" t="s">
        <v>152</v>
      </c>
      <c r="B10" s="657"/>
      <c r="C10" s="647">
        <f>[4]IEPSGASINCREMENTO!C13+'[4]IEPSGAS ESTIMACIONES'!C13</f>
        <v>49732.15358347883</v>
      </c>
      <c r="D10" s="647">
        <f>[4]IEPSGASINCREMENTO!D13+'[4]IEPSGAS ESTIMACIONES'!D13</f>
        <v>50104.955027616947</v>
      </c>
      <c r="E10" s="647">
        <f>[4]IEPSGASINCREMENTO!E13+'[4]IEPSGAS ESTIMACIONES'!E13</f>
        <v>47908.450194461497</v>
      </c>
      <c r="F10" s="647">
        <f>[4]IEPSGASINCREMENTO!F13+'[4]IEPSGAS ESTIMACIONES'!F13</f>
        <v>51499.754998811353</v>
      </c>
      <c r="G10" s="647">
        <f>[4]IEPSGASINCREMENTO!G13+'[4]IEPSGAS ESTIMACIONES'!G13</f>
        <v>50576.639082730719</v>
      </c>
      <c r="H10" s="647">
        <f>[4]IEPSGASINCREMENTO!H13+'[4]IEPSGAS ESTIMACIONES'!H13</f>
        <v>52420.569246103027</v>
      </c>
      <c r="I10" s="647">
        <f>[4]IEPSGASINCREMENTO!I13+'[4]IEPSGAS ESTIMACIONES'!I13</f>
        <v>50090.422339830024</v>
      </c>
      <c r="J10" s="647">
        <f>[4]IEPSGASINCREMENTO!J13+'[4]IEPSGAS ESTIMACIONES'!J13</f>
        <v>50903.168846203276</v>
      </c>
      <c r="K10" s="647">
        <f>[4]IEPSGASINCREMENTO!K13+'[4]IEPSGAS ESTIMACIONES'!K13</f>
        <v>49696.426843734676</v>
      </c>
      <c r="L10" s="647">
        <f>[4]IEPSGASINCREMENTO!L13+'[4]IEPSGAS ESTIMACIONES'!L13</f>
        <v>47764.837330455637</v>
      </c>
      <c r="M10" s="647">
        <f>[4]IEPSGASINCREMENTO!M13+'[4]IEPSGAS ESTIMACIONES'!M13</f>
        <v>48995.010427735906</v>
      </c>
      <c r="N10" s="647">
        <f>[4]IEPSGASINCREMENTO!N13+'[4]IEPSGAS ESTIMACIONES'!N13</f>
        <v>46541.414092921143</v>
      </c>
      <c r="O10" s="648">
        <f t="shared" si="0"/>
        <v>596233.80201408314</v>
      </c>
      <c r="P10" s="649"/>
    </row>
    <row r="11" spans="1:16" ht="12.75" customHeight="1" x14ac:dyDescent="0.2">
      <c r="A11" s="645" t="s">
        <v>153</v>
      </c>
      <c r="B11" s="657"/>
      <c r="C11" s="647">
        <f>[4]IEPSGASINCREMENTO!C14+'[4]IEPSGAS ESTIMACIONES'!C14</f>
        <v>119587.20758981175</v>
      </c>
      <c r="D11" s="647">
        <f>[4]IEPSGASINCREMENTO!D14+'[4]IEPSGAS ESTIMACIONES'!D14</f>
        <v>120478.89904626022</v>
      </c>
      <c r="E11" s="647">
        <f>[4]IEPSGASINCREMENTO!E14+'[4]IEPSGAS ESTIMACIONES'!E14</f>
        <v>115851.56444765819</v>
      </c>
      <c r="F11" s="647">
        <f>[4]IEPSGASINCREMENTO!F14+'[4]IEPSGAS ESTIMACIONES'!F14</f>
        <v>124059.1101903736</v>
      </c>
      <c r="G11" s="647">
        <f>[4]IEPSGASINCREMENTO!G14+'[4]IEPSGAS ESTIMACIONES'!G14</f>
        <v>122172.98127823528</v>
      </c>
      <c r="H11" s="647">
        <f>[4]IEPSGASINCREMENTO!H14+'[4]IEPSGAS ESTIMACIONES'!H14</f>
        <v>126307.08092673833</v>
      </c>
      <c r="I11" s="647">
        <f>[4]IEPSGASINCREMENTO!I14+'[4]IEPSGAS ESTIMACIONES'!I14</f>
        <v>121022.17416028492</v>
      </c>
      <c r="J11" s="647">
        <f>[4]IEPSGASINCREMENTO!J14+'[4]IEPSGAS ESTIMACIONES'!J14</f>
        <v>122886.44660871149</v>
      </c>
      <c r="K11" s="647">
        <f>[4]IEPSGASINCREMENTO!K14+'[4]IEPSGAS ESTIMACIONES'!K14</f>
        <v>119880.16949595929</v>
      </c>
      <c r="L11" s="647">
        <f>[4]IEPSGASINCREMENTO!L14+'[4]IEPSGAS ESTIMACIONES'!L14</f>
        <v>115585.86242473146</v>
      </c>
      <c r="M11" s="647">
        <f>[4]IEPSGASINCREMENTO!M14+'[4]IEPSGAS ESTIMACIONES'!M14</f>
        <v>118299.82343410715</v>
      </c>
      <c r="N11" s="647">
        <f>[4]IEPSGASINCREMENTO!N14+'[4]IEPSGAS ESTIMACIONES'!N14</f>
        <v>111510.98854304329</v>
      </c>
      <c r="O11" s="648">
        <f t="shared" si="0"/>
        <v>1437642.3081459152</v>
      </c>
      <c r="P11" s="649"/>
    </row>
    <row r="12" spans="1:16" ht="12.75" customHeight="1" x14ac:dyDescent="0.2">
      <c r="A12" s="645" t="s">
        <v>154</v>
      </c>
      <c r="B12" s="657"/>
      <c r="C12" s="647">
        <f>[4]IEPSGASINCREMENTO!C15+'[4]IEPSGAS ESTIMACIONES'!C15</f>
        <v>74889.163272332866</v>
      </c>
      <c r="D12" s="647">
        <f>[4]IEPSGASINCREMENTO!D15+'[4]IEPSGAS ESTIMACIONES'!D15</f>
        <v>75448.392320033046</v>
      </c>
      <c r="E12" s="647">
        <f>[4]IEPSGASINCREMENTO!E15+'[4]IEPSGAS ESTIMACIONES'!E15</f>
        <v>72437.15542032673</v>
      </c>
      <c r="F12" s="647">
        <f>[4]IEPSGASINCREMENTO!F15+'[4]IEPSGAS ESTIMACIONES'!F15</f>
        <v>77651.207191460606</v>
      </c>
      <c r="G12" s="647">
        <f>[4]IEPSGASINCREMENTO!G15+'[4]IEPSGAS ESTIMACIONES'!G15</f>
        <v>76412.216667871238</v>
      </c>
      <c r="H12" s="647">
        <f>[4]IEPSGASINCREMENTO!H15+'[4]IEPSGAS ESTIMACIONES'!H15</f>
        <v>79053.102714693508</v>
      </c>
      <c r="I12" s="647">
        <f>[4]IEPSGASINCREMENTO!I15+'[4]IEPSGAS ESTIMACIONES'!I15</f>
        <v>75688.362686004708</v>
      </c>
      <c r="J12" s="647">
        <f>[4]IEPSGASINCREMENTO!J15+'[4]IEPSGAS ESTIMACIONES'!J15</f>
        <v>76871.443816500483</v>
      </c>
      <c r="K12" s="647">
        <f>[4]IEPSGASINCREMENTO!K15+'[4]IEPSGAS ESTIMACIONES'!K15</f>
        <v>75006.940718951941</v>
      </c>
      <c r="L12" s="647">
        <f>[4]IEPSGASINCREMENTO!L15+'[4]IEPSGAS ESTIMACIONES'!L15</f>
        <v>72256.958839315426</v>
      </c>
      <c r="M12" s="647">
        <f>[4]IEPSGASINCREMENTO!M15+'[4]IEPSGAS ESTIMACIONES'!M15</f>
        <v>73998.851071968063</v>
      </c>
      <c r="N12" s="647">
        <f>[4]IEPSGASINCREMENTO!N15+'[4]IEPSGAS ESTIMACIONES'!N15</f>
        <v>69901.574349317292</v>
      </c>
      <c r="O12" s="648">
        <f t="shared" si="0"/>
        <v>899615.36906877602</v>
      </c>
      <c r="P12" s="649"/>
    </row>
    <row r="13" spans="1:16" ht="12.75" customHeight="1" x14ac:dyDescent="0.2">
      <c r="A13" s="645" t="s">
        <v>155</v>
      </c>
      <c r="B13" s="657"/>
      <c r="C13" s="647">
        <f>[4]IEPSGASINCREMENTO!C16+'[4]IEPSGAS ESTIMACIONES'!C16</f>
        <v>56745.24320938866</v>
      </c>
      <c r="D13" s="647">
        <f>[4]IEPSGASINCREMENTO!D16+'[4]IEPSGAS ESTIMACIONES'!D16</f>
        <v>57170.212089921333</v>
      </c>
      <c r="E13" s="647">
        <f>[4]IEPSGASINCREMENTO!E16+'[4]IEPSGAS ESTIMACIONES'!E16</f>
        <v>54719.546446642889</v>
      </c>
      <c r="F13" s="647">
        <f>[4]IEPSGASINCREMENTO!F16+'[4]IEPSGAS ESTIMACIONES'!F16</f>
        <v>58780.91836396898</v>
      </c>
      <c r="G13" s="647">
        <f>[4]IEPSGASINCREMENTO!G16+'[4]IEPSGAS ESTIMACIONES'!G16</f>
        <v>57755.962941433645</v>
      </c>
      <c r="H13" s="647">
        <f>[4]IEPSGASINCREMENTO!H16+'[4]IEPSGAS ESTIMACIONES'!H16</f>
        <v>59834.450419482164</v>
      </c>
      <c r="I13" s="647">
        <f>[4]IEPSGASINCREMENTO!I16+'[4]IEPSGAS ESTIMACIONES'!I16</f>
        <v>57202.740841031067</v>
      </c>
      <c r="J13" s="647">
        <f>[4]IEPSGASINCREMENTO!J16+'[4]IEPSGAS ESTIMACIONES'!J16</f>
        <v>58122.447829746132</v>
      </c>
      <c r="K13" s="647">
        <f>[4]IEPSGASINCREMENTO!K16+'[4]IEPSGAS ESTIMACIONES'!K16</f>
        <v>56736.657569553645</v>
      </c>
      <c r="L13" s="647">
        <f>[4]IEPSGASINCREMENTO!L16+'[4]IEPSGAS ESTIMACIONES'!L16</f>
        <v>54562.445284829759</v>
      </c>
      <c r="M13" s="647">
        <f>[4]IEPSGASINCREMENTO!M16+'[4]IEPSGAS ESTIMACIONES'!M16</f>
        <v>55945.357697587664</v>
      </c>
      <c r="N13" s="647">
        <f>[4]IEPSGASINCREMENTO!N16+'[4]IEPSGAS ESTIMACIONES'!N16</f>
        <v>53070.267788921046</v>
      </c>
      <c r="O13" s="648">
        <f t="shared" si="0"/>
        <v>680646.25048250693</v>
      </c>
      <c r="P13" s="649"/>
    </row>
    <row r="14" spans="1:16" ht="12.75" customHeight="1" x14ac:dyDescent="0.2">
      <c r="A14" s="645" t="s">
        <v>156</v>
      </c>
      <c r="B14" s="657"/>
      <c r="C14" s="647">
        <f>[4]IEPSGASINCREMENTO!C17+'[4]IEPSGAS ESTIMACIONES'!C17</f>
        <v>145752.82676427998</v>
      </c>
      <c r="D14" s="647">
        <f>[4]IEPSGASINCREMENTO!D17+'[4]IEPSGAS ESTIMACIONES'!D17</f>
        <v>146829.48754779249</v>
      </c>
      <c r="E14" s="647">
        <f>[4]IEPSGASINCREMENTO!E17+'[4]IEPSGAS ESTIMACIONES'!E17</f>
        <v>142583.79936821543</v>
      </c>
      <c r="F14" s="647">
        <f>[4]IEPSGASINCREMENTO!F17+'[4]IEPSGAS ESTIMACIONES'!F17</f>
        <v>151674.99034096661</v>
      </c>
      <c r="G14" s="647">
        <f>[4]IEPSGASINCREMENTO!G17+'[4]IEPSGAS ESTIMACIONES'!G17</f>
        <v>150086.86477377423</v>
      </c>
      <c r="H14" s="647">
        <f>[4]IEPSGASINCREMENTO!H17+'[4]IEPSGAS ESTIMACIONES'!H17</f>
        <v>154486.72681937757</v>
      </c>
      <c r="I14" s="647">
        <f>[4]IEPSGASINCREMENTO!I17+'[4]IEPSGAS ESTIMACIONES'!I17</f>
        <v>148723.37722110859</v>
      </c>
      <c r="J14" s="647">
        <f>[4]IEPSGASINCREMENTO!J17+'[4]IEPSGAS ESTIMACIONES'!J17</f>
        <v>150803.66297348967</v>
      </c>
      <c r="K14" s="647">
        <f>[4]IEPSGASINCREMENTO!K17+'[4]IEPSGAS ESTIMACIONES'!K17</f>
        <v>146916.97362572429</v>
      </c>
      <c r="L14" s="647">
        <f>[4]IEPSGASINCREMENTO!L17+'[4]IEPSGAS ESTIMACIONES'!L17</f>
        <v>142429.59919506795</v>
      </c>
      <c r="M14" s="647">
        <f>[4]IEPSGASINCREMENTO!M17+'[4]IEPSGAS ESTIMACIONES'!M17</f>
        <v>145217.28792884928</v>
      </c>
      <c r="N14" s="647">
        <f>[4]IEPSGASINCREMENTO!N17+'[4]IEPSGAS ESTIMACIONES'!N17</f>
        <v>135049.59051396593</v>
      </c>
      <c r="O14" s="648">
        <f t="shared" si="0"/>
        <v>1760555.1870726119</v>
      </c>
      <c r="P14" s="649"/>
    </row>
    <row r="15" spans="1:16" ht="12.75" customHeight="1" x14ac:dyDescent="0.2">
      <c r="A15" s="645" t="s">
        <v>157</v>
      </c>
      <c r="B15" s="657"/>
      <c r="C15" s="647">
        <f>[4]IEPSGASINCREMENTO!C18+'[4]IEPSGAS ESTIMACIONES'!C18</f>
        <v>98523.675122028711</v>
      </c>
      <c r="D15" s="647">
        <f>[4]IEPSGASINCREMENTO!D18+'[4]IEPSGAS ESTIMACIONES'!D18</f>
        <v>99260.947188703372</v>
      </c>
      <c r="E15" s="647">
        <f>[4]IEPSGASINCREMENTO!E18+'[4]IEPSGAS ESTIMACIONES'!E18</f>
        <v>95085.552011219406</v>
      </c>
      <c r="F15" s="647">
        <f>[4]IEPSGASINCREMENTO!F18+'[4]IEPSGAS ESTIMACIONES'!F18</f>
        <v>102085.03345488779</v>
      </c>
      <c r="G15" s="647">
        <f>[4]IEPSGASINCREMENTO!G18+'[4]IEPSGAS ESTIMACIONES'!G18</f>
        <v>100346.01838283156</v>
      </c>
      <c r="H15" s="647">
        <f>[4]IEPSGASINCREMENTO!H18+'[4]IEPSGAS ESTIMACIONES'!H18</f>
        <v>103918.32776493867</v>
      </c>
      <c r="I15" s="647">
        <f>[4]IEPSGASINCREMENTO!I18+'[4]IEPSGAS ESTIMACIONES'!I18</f>
        <v>99387.721322026831</v>
      </c>
      <c r="J15" s="647">
        <f>[4]IEPSGASINCREMENTO!J18+'[4]IEPSGAS ESTIMACIONES'!J18</f>
        <v>100973.60732078303</v>
      </c>
      <c r="K15" s="647">
        <f>[4]IEPSGASINCREMENTO!K18+'[4]IEPSGAS ESTIMACIONES'!K18</f>
        <v>98554.828998593046</v>
      </c>
      <c r="L15" s="647">
        <f>[4]IEPSGASINCREMENTO!L18+'[4]IEPSGAS ESTIMACIONES'!L18</f>
        <v>94822.467087724421</v>
      </c>
      <c r="M15" s="647">
        <f>[4]IEPSGASINCREMENTO!M18+'[4]IEPSGAS ESTIMACIONES'!M18</f>
        <v>97193.861105965989</v>
      </c>
      <c r="N15" s="647">
        <f>[4]IEPSGASINCREMENTO!N18+'[4]IEPSGAS ESTIMACIONES'!N18</f>
        <v>92093.938085297297</v>
      </c>
      <c r="O15" s="648">
        <f t="shared" si="0"/>
        <v>1182245.9778450001</v>
      </c>
      <c r="P15" s="649"/>
    </row>
    <row r="16" spans="1:16" ht="12.75" customHeight="1" x14ac:dyDescent="0.2">
      <c r="A16" s="645" t="s">
        <v>158</v>
      </c>
      <c r="B16" s="657"/>
      <c r="C16" s="647">
        <f>[4]IEPSGASINCREMENTO!C19+'[4]IEPSGAS ESTIMACIONES'!C19</f>
        <v>175769.49091383175</v>
      </c>
      <c r="D16" s="647">
        <f>[4]IEPSGASINCREMENTO!D19+'[4]IEPSGAS ESTIMACIONES'!D19</f>
        <v>177083.96048798432</v>
      </c>
      <c r="E16" s="647">
        <f>[4]IEPSGASINCREMENTO!E19+'[4]IEPSGAS ESTIMACIONES'!E19</f>
        <v>169751.61420175934</v>
      </c>
      <c r="F16" s="647">
        <f>[4]IEPSGASINCREMENTO!F19+'[4]IEPSGAS ESTIMACIONES'!F19</f>
        <v>182162.56580597573</v>
      </c>
      <c r="G16" s="647">
        <f>[4]IEPSGASINCREMENTO!G19+'[4]IEPSGAS ESTIMACIONES'!G19</f>
        <v>179119.59513485848</v>
      </c>
      <c r="H16" s="647">
        <f>[4]IEPSGASINCREMENTO!H19+'[4]IEPSGAS ESTIMACIONES'!H19</f>
        <v>185439.24287550888</v>
      </c>
      <c r="I16" s="647">
        <f>[4]IEPSGASINCREMENTO!I19+'[4]IEPSGAS ESTIMACIONES'!I19</f>
        <v>177413.23577857245</v>
      </c>
      <c r="J16" s="647">
        <f>[4]IEPSGASINCREMENTO!J19+'[4]IEPSGAS ESTIMACIONES'!J19</f>
        <v>180226.44633056334</v>
      </c>
      <c r="K16" s="647">
        <f>[4]IEPSGASINCREMENTO!K19+'[4]IEPSGAS ESTIMACIONES'!K19</f>
        <v>175892.62930066464</v>
      </c>
      <c r="L16" s="647">
        <f>[4]IEPSGASINCREMENTO!L19+'[4]IEPSGAS ESTIMACIONES'!L19</f>
        <v>169296.46187523025</v>
      </c>
      <c r="M16" s="647">
        <f>[4]IEPSGASINCREMENTO!M19+'[4]IEPSGAS ESTIMACIONES'!M19</f>
        <v>173483.57222442765</v>
      </c>
      <c r="N16" s="647">
        <f>[4]IEPSGASINCREMENTO!N19+'[4]IEPSGAS ESTIMACIONES'!N19</f>
        <v>164226.64407634322</v>
      </c>
      <c r="O16" s="648">
        <f t="shared" si="0"/>
        <v>2109865.4590057204</v>
      </c>
      <c r="P16" s="649"/>
    </row>
    <row r="17" spans="1:17" ht="12.75" customHeight="1" x14ac:dyDescent="0.2">
      <c r="A17" s="645" t="s">
        <v>285</v>
      </c>
      <c r="B17" s="657"/>
      <c r="C17" s="647">
        <f>[4]IEPSGASINCREMENTO!C20+'[4]IEPSGAS ESTIMACIONES'!C20</f>
        <v>32244.572900163199</v>
      </c>
      <c r="D17" s="647">
        <f>[4]IEPSGASINCREMENTO!D20+'[4]IEPSGAS ESTIMACIONES'!D20</f>
        <v>32482.755758432409</v>
      </c>
      <c r="E17" s="647">
        <f>[4]IEPSGASINCREMENTO!E20+'[4]IEPSGAS ESTIMACIONES'!E20</f>
        <v>31544.097903691505</v>
      </c>
      <c r="F17" s="647">
        <f>[4]IEPSGASINCREMENTO!F20+'[4]IEPSGAS ESTIMACIONES'!F20</f>
        <v>33554.925127905692</v>
      </c>
      <c r="G17" s="647">
        <f>[4]IEPSGASINCREMENTO!G20+'[4]IEPSGAS ESTIMACIONES'!G20</f>
        <v>33203.896716739029</v>
      </c>
      <c r="H17" s="647">
        <f>[4]IEPSGASINCREMENTO!H20+'[4]IEPSGAS ESTIMACIONES'!H20</f>
        <v>34176.990593056005</v>
      </c>
      <c r="I17" s="647">
        <f>[4]IEPSGASINCREMENTO!I20+'[4]IEPSGAS ESTIMACIONES'!I20</f>
        <v>32902.272416213636</v>
      </c>
      <c r="J17" s="647">
        <f>[4]IEPSGASINCREMENTO!J20+'[4]IEPSGAS ESTIMACIONES'!J20</f>
        <v>33362.405945649196</v>
      </c>
      <c r="K17" s="647">
        <f>[4]IEPSGASINCREMENTO!K20+'[4]IEPSGAS ESTIMACIONES'!K20</f>
        <v>32502.465503916759</v>
      </c>
      <c r="L17" s="647">
        <f>[4]IEPSGASINCREMENTO!L20+'[4]IEPSGAS ESTIMACIONES'!L20</f>
        <v>31510.058315899114</v>
      </c>
      <c r="M17" s="647">
        <f>[4]IEPSGASINCREMENTO!M20+'[4]IEPSGAS ESTIMACIONES'!M20</f>
        <v>32126.546301778541</v>
      </c>
      <c r="N17" s="647">
        <f>[4]IEPSGASINCREMENTO!N20+'[4]IEPSGAS ESTIMACIONES'!N20</f>
        <v>29876.345831047904</v>
      </c>
      <c r="O17" s="648">
        <f t="shared" si="0"/>
        <v>389487.33331449301</v>
      </c>
      <c r="P17" s="649"/>
    </row>
    <row r="18" spans="1:17" ht="12.75" customHeight="1" x14ac:dyDescent="0.2">
      <c r="A18" s="645" t="s">
        <v>286</v>
      </c>
      <c r="B18" s="657"/>
      <c r="C18" s="647">
        <f>[4]IEPSGASINCREMENTO!C21+'[4]IEPSGAS ESTIMACIONES'!C21</f>
        <v>98925.538994396033</v>
      </c>
      <c r="D18" s="647">
        <f>[4]IEPSGASINCREMENTO!D21+'[4]IEPSGAS ESTIMACIONES'!D21</f>
        <v>99658.720048617077</v>
      </c>
      <c r="E18" s="647">
        <f>[4]IEPSGASINCREMENTO!E21+'[4]IEPSGAS ESTIMACIONES'!E21</f>
        <v>96442.941674501766</v>
      </c>
      <c r="F18" s="647">
        <f>[4]IEPSGASINCREMENTO!F21+'[4]IEPSGAS ESTIMACIONES'!F21</f>
        <v>102831.95332735998</v>
      </c>
      <c r="G18" s="647">
        <f>[4]IEPSGASINCREMENTO!G21+'[4]IEPSGAS ESTIMACIONES'!G21</f>
        <v>101583.72092546223</v>
      </c>
      <c r="H18" s="647">
        <f>[4]IEPSGASINCREMENTO!H21+'[4]IEPSGAS ESTIMACIONES'!H21</f>
        <v>104723.10295359092</v>
      </c>
      <c r="I18" s="647">
        <f>[4]IEPSGASINCREMENTO!I21+'[4]IEPSGAS ESTIMACIONES'!I21</f>
        <v>100648.91773019769</v>
      </c>
      <c r="J18" s="647">
        <f>[4]IEPSGASINCREMENTO!J21+'[4]IEPSGAS ESTIMACIONES'!J21</f>
        <v>102106.84377843895</v>
      </c>
      <c r="K18" s="647">
        <f>[4]IEPSGASINCREMENTO!K21+'[4]IEPSGAS ESTIMACIONES'!K21</f>
        <v>99522.227708551873</v>
      </c>
      <c r="L18" s="647">
        <f>[4]IEPSGASINCREMENTO!L21+'[4]IEPSGAS ESTIMACIONES'!L21</f>
        <v>96297.623998612922</v>
      </c>
      <c r="M18" s="647">
        <f>[4]IEPSGASINCREMENTO!M21+'[4]IEPSGAS ESTIMACIONES'!M21</f>
        <v>98314.341869316195</v>
      </c>
      <c r="N18" s="647">
        <f>[4]IEPSGASINCREMENTO!N21+'[4]IEPSGAS ESTIMACIONES'!N21</f>
        <v>91867.137136711375</v>
      </c>
      <c r="O18" s="648">
        <f t="shared" si="0"/>
        <v>1192923.0701457569</v>
      </c>
      <c r="P18" s="649"/>
    </row>
    <row r="19" spans="1:17" ht="12.75" customHeight="1" x14ac:dyDescent="0.2">
      <c r="A19" s="645" t="s">
        <v>287</v>
      </c>
      <c r="B19" s="657"/>
      <c r="C19" s="647">
        <f>[4]IEPSGASINCREMENTO!C22+'[4]IEPSGAS ESTIMACIONES'!C22</f>
        <v>393755.89238314558</v>
      </c>
      <c r="D19" s="647">
        <f>[4]IEPSGASINCREMENTO!D22+'[4]IEPSGAS ESTIMACIONES'!D22</f>
        <v>396696.90504874708</v>
      </c>
      <c r="E19" s="647">
        <f>[4]IEPSGASINCREMENTO!E22+'[4]IEPSGAS ESTIMACIONES'!E22</f>
        <v>380771.96433006652</v>
      </c>
      <c r="F19" s="647">
        <f>[4]IEPSGASINCREMENTO!F22+'[4]IEPSGAS ESTIMACIONES'!F22</f>
        <v>408247.05988672789</v>
      </c>
      <c r="G19" s="647">
        <f>[4]IEPSGASINCREMENTO!G22+'[4]IEPSGAS ESTIMACIONES'!G22</f>
        <v>401685.57597452489</v>
      </c>
      <c r="H19" s="647">
        <f>[4]IEPSGASINCREMENTO!H22+'[4]IEPSGAS ESTIMACIONES'!H22</f>
        <v>415613.25280932849</v>
      </c>
      <c r="I19" s="647">
        <f>[4]IEPSGASINCREMENTO!I22+'[4]IEPSGAS ESTIMACIONES'!I22</f>
        <v>397877.0711397655</v>
      </c>
      <c r="J19" s="647">
        <f>[4]IEPSGASINCREMENTO!J22+'[4]IEPSGAS ESTIMACIONES'!J22</f>
        <v>404110.23893257522</v>
      </c>
      <c r="K19" s="647">
        <f>[4]IEPSGASINCREMENTO!K22+'[4]IEPSGAS ESTIMACIONES'!K22</f>
        <v>394321.70612110081</v>
      </c>
      <c r="L19" s="647">
        <f>[4]IEPSGASINCREMENTO!L22+'[4]IEPSGAS ESTIMACIONES'!L22</f>
        <v>379813.28519331524</v>
      </c>
      <c r="M19" s="647">
        <f>[4]IEPSGASINCREMENTO!M22+'[4]IEPSGAS ESTIMACIONES'!M22</f>
        <v>389006.32925429335</v>
      </c>
      <c r="N19" s="647">
        <f>[4]IEPSGASINCREMENTO!N22+'[4]IEPSGAS ESTIMACIONES'!N22</f>
        <v>367588.84670672065</v>
      </c>
      <c r="O19" s="648">
        <f t="shared" si="0"/>
        <v>4729488.1277803117</v>
      </c>
      <c r="P19" s="649"/>
    </row>
    <row r="20" spans="1:17" ht="12.75" customHeight="1" x14ac:dyDescent="0.2">
      <c r="A20" s="645" t="s">
        <v>162</v>
      </c>
      <c r="B20" s="657"/>
      <c r="C20" s="647">
        <f>[4]IEPSGASINCREMENTO!C23+'[4]IEPSGAS ESTIMACIONES'!C23</f>
        <v>169225.698249257</v>
      </c>
      <c r="D20" s="647">
        <f>[4]IEPSGASINCREMENTO!D23+'[4]IEPSGAS ESTIMACIONES'!D23</f>
        <v>170477.60653589905</v>
      </c>
      <c r="E20" s="647">
        <f>[4]IEPSGASINCREMENTO!E23+'[4]IEPSGAS ESTIMACIONES'!E23</f>
        <v>165292.81853737676</v>
      </c>
      <c r="F20" s="647">
        <f>[4]IEPSGASINCREMENTO!F23+'[4]IEPSGAS ESTIMACIONES'!F23</f>
        <v>176015.18223143648</v>
      </c>
      <c r="G20" s="647">
        <f>[4]IEPSGASINCREMENTO!G23+'[4]IEPSGAS ESTIMACIONES'!G23</f>
        <v>174041.12346011598</v>
      </c>
      <c r="H20" s="647">
        <f>[4]IEPSGASINCREMENTO!H23+'[4]IEPSGAS ESTIMACIONES'!H23</f>
        <v>179266.56539447288</v>
      </c>
      <c r="I20" s="647">
        <f>[4]IEPSGASINCREMENTO!I23+'[4]IEPSGAS ESTIMACIONES'!I23</f>
        <v>172450.88748462795</v>
      </c>
      <c r="J20" s="647">
        <f>[4]IEPSGASINCREMENTO!J23+'[4]IEPSGAS ESTIMACIONES'!J23</f>
        <v>174901.341465773</v>
      </c>
      <c r="K20" s="647">
        <f>[4]IEPSGASINCREMENTO!K23+'[4]IEPSGAS ESTIMACIONES'!K23</f>
        <v>170429.49706647469</v>
      </c>
      <c r="L20" s="647">
        <f>[4]IEPSGASINCREMENTO!L23+'[4]IEPSGAS ESTIMACIONES'!L23</f>
        <v>165082.71363244698</v>
      </c>
      <c r="M20" s="647">
        <f>[4]IEPSGASINCREMENTO!M23+'[4]IEPSGAS ESTIMACIONES'!M23</f>
        <v>168414.60870855919</v>
      </c>
      <c r="N20" s="647">
        <f>[4]IEPSGASINCREMENTO!N23+'[4]IEPSGAS ESTIMACIONES'!N23</f>
        <v>156956.26233550004</v>
      </c>
      <c r="O20" s="648">
        <f t="shared" si="0"/>
        <v>2042554.3051019402</v>
      </c>
      <c r="P20" s="649"/>
    </row>
    <row r="21" spans="1:17" ht="12.75" customHeight="1" x14ac:dyDescent="0.2">
      <c r="A21" s="645" t="s">
        <v>163</v>
      </c>
      <c r="B21" s="659"/>
      <c r="C21" s="647">
        <f>[4]IEPSGASINCREMENTO!C24+'[4]IEPSGAS ESTIMACIONES'!C24</f>
        <v>1601666.9082936733</v>
      </c>
      <c r="D21" s="647">
        <f>[4]IEPSGASINCREMENTO!D24+'[4]IEPSGAS ESTIMACIONES'!D24</f>
        <v>1613711.5359917465</v>
      </c>
      <c r="E21" s="647">
        <f>[4]IEPSGASINCREMENTO!E24+'[4]IEPSGAS ESTIMACIONES'!E24</f>
        <v>1537710.3634869189</v>
      </c>
      <c r="F21" s="647">
        <f>[4]IEPSGASINCREMENTO!F24+'[4]IEPSGAS ESTIMACIONES'!F24</f>
        <v>1656813.5953335939</v>
      </c>
      <c r="G21" s="647">
        <f>[4]IEPSGASINCREMENTO!G24+'[4]IEPSGAS ESTIMACIONES'!G24</f>
        <v>1624401.9778432944</v>
      </c>
      <c r="H21" s="647">
        <f>[4]IEPSGASINCREMENTO!H24+'[4]IEPSGAS ESTIMACIONES'!H24</f>
        <v>1686197.8471734927</v>
      </c>
      <c r="I21" s="647">
        <f>[4]IEPSGASINCREMENTO!I24+'[4]IEPSGAS ESTIMACIONES'!I24</f>
        <v>1608595.3404142766</v>
      </c>
      <c r="J21" s="647">
        <f>[4]IEPSGASINCREMENTO!J24+'[4]IEPSGAS ESTIMACIONES'!J24</f>
        <v>1635494.6596498573</v>
      </c>
      <c r="K21" s="647">
        <f>[4]IEPSGASINCREMENTO!K24+'[4]IEPSGAS ESTIMACIONES'!K24</f>
        <v>1597470.6553665572</v>
      </c>
      <c r="L21" s="647">
        <f>[4]IEPSGASINCREMENTO!L24+'[4]IEPSGAS ESTIMACIONES'!L24</f>
        <v>1532445.0384038694</v>
      </c>
      <c r="M21" s="647">
        <f>[4]IEPSGASINCREMENTO!M24+'[4]IEPSGAS ESTIMACIONES'!M24</f>
        <v>1574026.4359983567</v>
      </c>
      <c r="N21" s="647">
        <f>[4]IEPSGASINCREMENTO!N24+'[4]IEPSGAS ESTIMACIONES'!N24</f>
        <v>1502151.5056712769</v>
      </c>
      <c r="O21" s="648">
        <f t="shared" si="0"/>
        <v>19170685.863626912</v>
      </c>
      <c r="P21" s="649"/>
      <c r="Q21" s="649"/>
    </row>
    <row r="22" spans="1:17" ht="12.75" customHeight="1" x14ac:dyDescent="0.2">
      <c r="A22" s="645" t="s">
        <v>164</v>
      </c>
      <c r="B22" s="659"/>
      <c r="C22" s="647">
        <f>[4]IEPSGASINCREMENTO!C25+'[4]IEPSGAS ESTIMACIONES'!C25</f>
        <v>129733.05102227838</v>
      </c>
      <c r="D22" s="647">
        <f>[4]IEPSGASINCREMENTO!D25+'[4]IEPSGAS ESTIMACIONES'!D25</f>
        <v>130693.40099678151</v>
      </c>
      <c r="E22" s="647">
        <f>[4]IEPSGASINCREMENTO!E25+'[4]IEPSGAS ESTIMACIONES'!E25</f>
        <v>126635.65795584465</v>
      </c>
      <c r="F22" s="647">
        <f>[4]IEPSGASINCREMENTO!F25+'[4]IEPSGAS ESTIMACIONES'!F25</f>
        <v>134909.9846963693</v>
      </c>
      <c r="G22" s="647">
        <f>[4]IEPSGASINCREMENTO!G25+'[4]IEPSGAS ESTIMACIONES'!G25</f>
        <v>133354.33466609681</v>
      </c>
      <c r="H22" s="647">
        <f>[4]IEPSGASINCREMENTO!H25+'[4]IEPSGAS ESTIMACIONES'!H25</f>
        <v>137398.30564011377</v>
      </c>
      <c r="I22" s="647">
        <f>[4]IEPSGASINCREMENTO!I25+'[4]IEPSGAS ESTIMACIONES'!I25</f>
        <v>132132.88905921826</v>
      </c>
      <c r="J22" s="647">
        <f>[4]IEPSGASINCREMENTO!J25+'[4]IEPSGAS ESTIMACIONES'!J25</f>
        <v>134022.89060229436</v>
      </c>
      <c r="K22" s="647">
        <f>[4]IEPSGASINCREMENTO!K25+'[4]IEPSGAS ESTIMACIONES'!K25</f>
        <v>130607.89837134602</v>
      </c>
      <c r="L22" s="647">
        <f>[4]IEPSGASINCREMENTO!L25+'[4]IEPSGAS ESTIMACIONES'!L25</f>
        <v>126464.49316368713</v>
      </c>
      <c r="M22" s="647">
        <f>[4]IEPSGASINCREMENTO!M25+'[4]IEPSGAS ESTIMACIONES'!M25</f>
        <v>129049.75774845442</v>
      </c>
      <c r="N22" s="647">
        <f>[4]IEPSGASINCREMENTO!N25+'[4]IEPSGAS ESTIMACIONES'!N25</f>
        <v>120378.12836981633</v>
      </c>
      <c r="O22" s="648">
        <f t="shared" si="0"/>
        <v>1565380.7922923011</v>
      </c>
      <c r="P22" s="649"/>
      <c r="Q22" s="649"/>
    </row>
    <row r="23" spans="1:17" ht="12.75" customHeight="1" thickBot="1" x14ac:dyDescent="0.25">
      <c r="A23" s="645" t="s">
        <v>165</v>
      </c>
      <c r="B23" s="658"/>
      <c r="C23" s="647">
        <f>[4]IEPSGASINCREMENTO!C26+'[4]IEPSGAS ESTIMACIONES'!C26</f>
        <v>210541.61277504975</v>
      </c>
      <c r="D23" s="647">
        <f>[4]IEPSGASINCREMENTO!D26+'[4]IEPSGAS ESTIMACIONES'!D26</f>
        <v>212140.72881083639</v>
      </c>
      <c r="E23" s="647">
        <f>[4]IEPSGASINCREMENTO!E26+'[4]IEPSGAS ESTIMACIONES'!E26</f>
        <v>199972.07473718171</v>
      </c>
      <c r="F23" s="647">
        <f>[4]IEPSGASINCREMENTO!F26+'[4]IEPSGAS ESTIMACIONES'!F26</f>
        <v>217053.56243615621</v>
      </c>
      <c r="G23" s="647">
        <f>[4]IEPSGASINCREMENTO!G26+'[4]IEPSGAS ESTIMACIONES'!G26</f>
        <v>211682.61048789503</v>
      </c>
      <c r="H23" s="647">
        <f>[4]IEPSGASINCREMENTO!H26+'[4]IEPSGAS ESTIMACIONES'!H26</f>
        <v>220803.81290880707</v>
      </c>
      <c r="I23" s="647">
        <f>[4]IEPSGASINCREMENTO!I26+'[4]IEPSGAS ESTIMACIONES'!I26</f>
        <v>209543.68828706257</v>
      </c>
      <c r="J23" s="647">
        <f>[4]IEPSGASINCREMENTO!J26+'[4]IEPSGAS ESTIMACIONES'!J26</f>
        <v>213379.4568178448</v>
      </c>
      <c r="K23" s="647">
        <f>[4]IEPSGASINCREMENTO!K26+'[4]IEPSGAS ESTIMACIONES'!K26</f>
        <v>208729.00056958129</v>
      </c>
      <c r="L23" s="647">
        <f>[4]IEPSGASINCREMENTO!L26+'[4]IEPSGAS ESTIMACIONES'!L26</f>
        <v>199014.89430526807</v>
      </c>
      <c r="M23" s="647">
        <f>[4]IEPSGASINCREMENTO!M26+'[4]IEPSGAS ESTIMACIONES'!M26</f>
        <v>205293.42746177263</v>
      </c>
      <c r="N23" s="647">
        <f>[4]IEPSGASINCREMENTO!N26+'[4]IEPSGAS ESTIMACIONES'!N26</f>
        <v>198803.75519895245</v>
      </c>
      <c r="O23" s="648">
        <f t="shared" si="0"/>
        <v>2506958.6247964082</v>
      </c>
      <c r="P23" s="649"/>
    </row>
    <row r="24" spans="1:17" ht="13.5" thickBot="1" x14ac:dyDescent="0.25">
      <c r="A24" s="650" t="s">
        <v>288</v>
      </c>
      <c r="B24" s="651">
        <f t="shared" ref="B24:O24" si="1">SUM(B4:B23)</f>
        <v>0</v>
      </c>
      <c r="C24" s="652">
        <f t="shared" si="1"/>
        <v>4539603.375</v>
      </c>
      <c r="D24" s="652">
        <f t="shared" si="1"/>
        <v>4573786.95</v>
      </c>
      <c r="E24" s="652">
        <f t="shared" si="1"/>
        <v>4352117.1749999998</v>
      </c>
      <c r="F24" s="652">
        <f t="shared" si="1"/>
        <v>4693787.0999999996</v>
      </c>
      <c r="G24" s="652">
        <f t="shared" si="1"/>
        <v>4598731.8000000007</v>
      </c>
      <c r="H24" s="652">
        <f t="shared" si="1"/>
        <v>4776747.9749999996</v>
      </c>
      <c r="I24" s="652">
        <f t="shared" si="1"/>
        <v>4553755.4249999998</v>
      </c>
      <c r="J24" s="652">
        <f t="shared" si="1"/>
        <v>4630857.75</v>
      </c>
      <c r="K24" s="652">
        <f t="shared" si="1"/>
        <v>4524086.0249999994</v>
      </c>
      <c r="L24" s="652">
        <f t="shared" si="1"/>
        <v>4336431.9750000015</v>
      </c>
      <c r="M24" s="652">
        <f t="shared" si="1"/>
        <v>4456621.3499999996</v>
      </c>
      <c r="N24" s="652">
        <f t="shared" si="1"/>
        <v>4261408.2</v>
      </c>
      <c r="O24" s="652">
        <f t="shared" si="1"/>
        <v>54297935.100000001</v>
      </c>
    </row>
    <row r="25" spans="1:17" x14ac:dyDescent="0.2">
      <c r="A25" s="653"/>
      <c r="B25" s="653"/>
      <c r="C25" s="653"/>
      <c r="D25" s="653"/>
      <c r="E25" s="653"/>
      <c r="F25" s="653"/>
      <c r="G25" s="653"/>
      <c r="H25" s="653"/>
      <c r="I25" s="653"/>
      <c r="J25" s="653"/>
      <c r="K25" s="653"/>
      <c r="L25" s="653"/>
      <c r="M25" s="653"/>
      <c r="N25" s="653"/>
      <c r="O25" s="660"/>
    </row>
    <row r="26" spans="1:17" x14ac:dyDescent="0.2">
      <c r="A26" s="654" t="s">
        <v>289</v>
      </c>
    </row>
  </sheetData>
  <mergeCells count="1">
    <mergeCell ref="A1:O1"/>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tabColor rgb="FF7030A0"/>
  </sheetPr>
  <dimension ref="A1:P26"/>
  <sheetViews>
    <sheetView workbookViewId="0">
      <selection activeCell="D8" sqref="D8"/>
    </sheetView>
  </sheetViews>
  <sheetFormatPr baseColWidth="10" defaultRowHeight="12.75" x14ac:dyDescent="0.2"/>
  <cols>
    <col min="1" max="1" width="15.42578125" style="640" customWidth="1"/>
    <col min="2" max="4" width="7.85546875" style="640" customWidth="1"/>
    <col min="5" max="5" width="8.7109375" style="640" bestFit="1" customWidth="1"/>
    <col min="6" max="9" width="7.85546875" style="640" customWidth="1"/>
    <col min="10" max="10" width="9.42578125" style="640" customWidth="1"/>
    <col min="11" max="11" width="7.85546875" style="640" customWidth="1"/>
    <col min="12" max="12" width="9.140625" style="640" customWidth="1"/>
    <col min="13" max="13" width="8.5703125" style="640" customWidth="1"/>
    <col min="14" max="14" width="8.7109375" style="640" bestFit="1" customWidth="1"/>
    <col min="15" max="16384" width="11.42578125" style="640"/>
  </cols>
  <sheetData>
    <row r="1" spans="1:16" x14ac:dyDescent="0.2">
      <c r="A1" s="1237" t="s">
        <v>388</v>
      </c>
      <c r="B1" s="1237"/>
      <c r="C1" s="1237"/>
      <c r="D1" s="1237"/>
      <c r="E1" s="1237"/>
      <c r="F1" s="1237"/>
      <c r="G1" s="1237"/>
      <c r="H1" s="1237"/>
      <c r="I1" s="1237"/>
      <c r="J1" s="1237"/>
      <c r="K1" s="1237"/>
      <c r="L1" s="1237"/>
      <c r="M1" s="1237"/>
      <c r="N1" s="1237"/>
    </row>
    <row r="2" spans="1:16" ht="13.5" thickBot="1" x14ac:dyDescent="0.25"/>
    <row r="3" spans="1:16" ht="23.25" thickBot="1" x14ac:dyDescent="0.25">
      <c r="A3" s="641" t="s">
        <v>346</v>
      </c>
      <c r="B3" s="641" t="s">
        <v>1</v>
      </c>
      <c r="C3" s="643" t="s">
        <v>2</v>
      </c>
      <c r="D3" s="641" t="s">
        <v>3</v>
      </c>
      <c r="E3" s="643" t="s">
        <v>4</v>
      </c>
      <c r="F3" s="641" t="s">
        <v>5</v>
      </c>
      <c r="G3" s="641" t="s">
        <v>6</v>
      </c>
      <c r="H3" s="641" t="s">
        <v>7</v>
      </c>
      <c r="I3" s="643" t="s">
        <v>8</v>
      </c>
      <c r="J3" s="641" t="s">
        <v>9</v>
      </c>
      <c r="K3" s="643" t="s">
        <v>10</v>
      </c>
      <c r="L3" s="641" t="s">
        <v>11</v>
      </c>
      <c r="M3" s="641" t="s">
        <v>12</v>
      </c>
      <c r="N3" s="644" t="s">
        <v>168</v>
      </c>
    </row>
    <row r="4" spans="1:16" ht="12.75" customHeight="1" x14ac:dyDescent="0.2">
      <c r="A4" s="645" t="s">
        <v>282</v>
      </c>
      <c r="B4" s="647">
        <f>'[4]FOFIR  INCREMENTO'!C7+'[4]FFOR ESTIMACIONES'!C7</f>
        <v>166059.80182410308</v>
      </c>
      <c r="C4" s="647">
        <f>'[4]FOFIR  INCREMENTO'!D7+'[4]FFOR ESTIMACIONES'!D7</f>
        <v>121496.18625403017</v>
      </c>
      <c r="D4" s="647">
        <f>'[4]FOFIR  INCREMENTO'!E7+'[4]FFOR ESTIMACIONES'!E7</f>
        <v>121496.18625403017</v>
      </c>
      <c r="E4" s="647">
        <f>'[4]FOFIR  INCREMENTO'!F7+'[4]FFOR ESTIMACIONES'!F7</f>
        <v>199748.46075717272</v>
      </c>
      <c r="F4" s="647">
        <f>'[4]FOFIR  INCREMENTO'!G7+'[4]FFOR ESTIMACIONES'!G7</f>
        <v>121496.18625403017</v>
      </c>
      <c r="G4" s="647">
        <f>'[4]FOFIR  INCREMENTO'!H7+'[4]FFOR ESTIMACIONES'!H7</f>
        <v>121496.18625403017</v>
      </c>
      <c r="H4" s="647">
        <f>'[4]FOFIR  INCREMENTO'!I7+'[4]FFOR ESTIMACIONES'!I7</f>
        <v>167908.37469649853</v>
      </c>
      <c r="I4" s="647">
        <f>'[4]FOFIR  INCREMENTO'!J7+'[4]FFOR ESTIMACIONES'!J7</f>
        <v>121496.18625403018</v>
      </c>
      <c r="J4" s="647">
        <f>'[4]FOFIR  INCREMENTO'!K7+'[4]FFOR ESTIMACIONES'!K7</f>
        <v>121496.18625403018</v>
      </c>
      <c r="K4" s="647">
        <f>'[4]FOFIR  INCREMENTO'!L7+'[4]FFOR ESTIMACIONES'!L7</f>
        <v>173140.32783569855</v>
      </c>
      <c r="L4" s="647">
        <f>'[4]FOFIR  INCREMENTO'!M7+'[4]FFOR ESTIMACIONES'!M7</f>
        <v>121496.18625403021</v>
      </c>
      <c r="M4" s="647">
        <f>'[4]FOFIR  INCREMENTO'!N7+'[4]FFOR ESTIMACIONES'!N7</f>
        <v>121496.18625403021</v>
      </c>
      <c r="N4" s="648">
        <f t="shared" ref="N4:N24" si="0">SUM(B4:M4)</f>
        <v>1678826.4551457143</v>
      </c>
      <c r="P4" s="649"/>
    </row>
    <row r="5" spans="1:16" ht="12.75" customHeight="1" x14ac:dyDescent="0.2">
      <c r="A5" s="645" t="s">
        <v>147</v>
      </c>
      <c r="B5" s="647">
        <f>'[4]FOFIR  INCREMENTO'!C8+'[4]FFOR ESTIMACIONES'!C8</f>
        <v>65896.245453383191</v>
      </c>
      <c r="C5" s="647">
        <f>'[4]FOFIR  INCREMENTO'!D8+'[4]FFOR ESTIMACIONES'!D8</f>
        <v>49383.291033517453</v>
      </c>
      <c r="D5" s="647">
        <f>'[4]FOFIR  INCREMENTO'!E8+'[4]FFOR ESTIMACIONES'!E8</f>
        <v>49383.291033517453</v>
      </c>
      <c r="E5" s="647">
        <f>'[4]FOFIR  INCREMENTO'!F8+'[4]FFOR ESTIMACIONES'!F8</f>
        <v>78622.072446546939</v>
      </c>
      <c r="F5" s="647">
        <f>'[4]FOFIR  INCREMENTO'!G8+'[4]FFOR ESTIMACIONES'!G8</f>
        <v>49383.291033517453</v>
      </c>
      <c r="G5" s="647">
        <f>'[4]FOFIR  INCREMENTO'!H8+'[4]FFOR ESTIMACIONES'!H8</f>
        <v>49383.291033517453</v>
      </c>
      <c r="H5" s="647">
        <f>'[4]FOFIR  INCREMENTO'!I8+'[4]FFOR ESTIMACIONES'!I8</f>
        <v>66095.724649424024</v>
      </c>
      <c r="I5" s="647">
        <f>'[4]FOFIR  INCREMENTO'!J8+'[4]FFOR ESTIMACIONES'!J8</f>
        <v>49383.29103351746</v>
      </c>
      <c r="J5" s="647">
        <f>'[4]FOFIR  INCREMENTO'!K8+'[4]FFOR ESTIMACIONES'!K8</f>
        <v>49383.29103351746</v>
      </c>
      <c r="K5" s="647">
        <f>'[4]FOFIR  INCREMENTO'!L8+'[4]FFOR ESTIMACIONES'!L8</f>
        <v>68436.559581981463</v>
      </c>
      <c r="L5" s="647">
        <f>'[4]FOFIR  INCREMENTO'!M8+'[4]FFOR ESTIMACIONES'!M8</f>
        <v>49383.291033517475</v>
      </c>
      <c r="M5" s="647">
        <f>'[4]FOFIR  INCREMENTO'!N8+'[4]FFOR ESTIMACIONES'!N8</f>
        <v>49383.291033517475</v>
      </c>
      <c r="N5" s="648">
        <f t="shared" si="0"/>
        <v>674116.93039947527</v>
      </c>
      <c r="P5" s="649"/>
    </row>
    <row r="6" spans="1:16" ht="12.75" customHeight="1" x14ac:dyDescent="0.2">
      <c r="A6" s="645" t="s">
        <v>148</v>
      </c>
      <c r="B6" s="647">
        <f>'[4]FOFIR  INCREMENTO'!C9+'[4]FFOR ESTIMACIONES'!C9</f>
        <v>47172.166888439977</v>
      </c>
      <c r="C6" s="647">
        <f>'[4]FOFIR  INCREMENTO'!D9+'[4]FFOR ESTIMACIONES'!D9</f>
        <v>36009.252493238819</v>
      </c>
      <c r="D6" s="647">
        <f>'[4]FOFIR  INCREMENTO'!E9+'[4]FFOR ESTIMACIONES'!E9</f>
        <v>36009.252493238819</v>
      </c>
      <c r="E6" s="647">
        <f>'[4]FOFIR  INCREMENTO'!F9+'[4]FFOR ESTIMACIONES'!F9</f>
        <v>55920.919567698598</v>
      </c>
      <c r="F6" s="647">
        <f>'[4]FOFIR  INCREMENTO'!G9+'[4]FFOR ESTIMACIONES'!G9</f>
        <v>36009.252493238819</v>
      </c>
      <c r="G6" s="647">
        <f>'[4]FOFIR  INCREMENTO'!H9+'[4]FFOR ESTIMACIONES'!H9</f>
        <v>36009.252493238819</v>
      </c>
      <c r="H6" s="647">
        <f>'[4]FOFIR  INCREMENTO'!I9+'[4]FFOR ESTIMACIONES'!I9</f>
        <v>47014.845704379681</v>
      </c>
      <c r="I6" s="647">
        <f>'[4]FOFIR  INCREMENTO'!J9+'[4]FFOR ESTIMACIONES'!J9</f>
        <v>36009.252493238826</v>
      </c>
      <c r="J6" s="647">
        <f>'[4]FOFIR  INCREMENTO'!K9+'[4]FFOR ESTIMACIONES'!K9</f>
        <v>36009.252493238826</v>
      </c>
      <c r="K6" s="647">
        <f>'[4]FOFIR  INCREMENTO'!L9+'[4]FFOR ESTIMACIONES'!L9</f>
        <v>48839.278476363965</v>
      </c>
      <c r="L6" s="647">
        <f>'[4]FOFIR  INCREMENTO'!M9+'[4]FFOR ESTIMACIONES'!M9</f>
        <v>36009.252493238833</v>
      </c>
      <c r="M6" s="647">
        <f>'[4]FOFIR  INCREMENTO'!N9+'[4]FFOR ESTIMACIONES'!N9</f>
        <v>36009.252493238833</v>
      </c>
      <c r="N6" s="648">
        <f t="shared" si="0"/>
        <v>487021.23058279284</v>
      </c>
      <c r="P6" s="649"/>
    </row>
    <row r="7" spans="1:16" ht="12.75" customHeight="1" x14ac:dyDescent="0.2">
      <c r="A7" s="645" t="s">
        <v>283</v>
      </c>
      <c r="B7" s="647">
        <f>'[4]FOFIR  INCREMENTO'!C10+'[4]FFOR ESTIMACIONES'!C10</f>
        <v>1617728.7073038896</v>
      </c>
      <c r="C7" s="647">
        <f>'[4]FOFIR  INCREMENTO'!D10+'[4]FFOR ESTIMACIONES'!D10</f>
        <v>430998.70281890297</v>
      </c>
      <c r="D7" s="647">
        <f>'[4]FOFIR  INCREMENTO'!E10+'[4]FFOR ESTIMACIONES'!E10</f>
        <v>430998.70281890297</v>
      </c>
      <c r="E7" s="647">
        <f>'[4]FOFIR  INCREMENTO'!F10+'[4]FFOR ESTIMACIONES'!F10</f>
        <v>2358947.3555349289</v>
      </c>
      <c r="F7" s="647">
        <f>'[4]FOFIR  INCREMENTO'!G10+'[4]FFOR ESTIMACIONES'!G10</f>
        <v>430998.70281890297</v>
      </c>
      <c r="G7" s="647">
        <f>'[4]FOFIR  INCREMENTO'!H10+'[4]FFOR ESTIMACIONES'!H10</f>
        <v>430998.70281890297</v>
      </c>
      <c r="H7" s="647">
        <f>'[4]FOFIR  INCREMENTO'!I10+'[4]FFOR ESTIMACIONES'!I10</f>
        <v>1979019.7665862315</v>
      </c>
      <c r="I7" s="647">
        <f>'[4]FOFIR  INCREMENTO'!J10+'[4]FFOR ESTIMACIONES'!J10</f>
        <v>430998.70281890291</v>
      </c>
      <c r="J7" s="647">
        <f>'[4]FOFIR  INCREMENTO'!K10+'[4]FFOR ESTIMACIONES'!K10</f>
        <v>430998.70281890291</v>
      </c>
      <c r="K7" s="647">
        <f>'[4]FOFIR  INCREMENTO'!L10+'[4]FFOR ESTIMACIONES'!L10</f>
        <v>1859863.6965230324</v>
      </c>
      <c r="L7" s="647">
        <f>'[4]FOFIR  INCREMENTO'!M10+'[4]FFOR ESTIMACIONES'!M10</f>
        <v>430998.70281890279</v>
      </c>
      <c r="M7" s="647">
        <f>'[4]FOFIR  INCREMENTO'!N10+'[4]FFOR ESTIMACIONES'!N10</f>
        <v>430998.70281890279</v>
      </c>
      <c r="N7" s="648">
        <f t="shared" si="0"/>
        <v>11263549.148499306</v>
      </c>
      <c r="P7" s="649"/>
    </row>
    <row r="8" spans="1:16" ht="12.75" customHeight="1" x14ac:dyDescent="0.2">
      <c r="A8" s="645" t="s">
        <v>150</v>
      </c>
      <c r="B8" s="647">
        <f>'[4]FOFIR  INCREMENTO'!C11+'[4]FFOR ESTIMACIONES'!C11</f>
        <v>335898.08821091719</v>
      </c>
      <c r="C8" s="647">
        <f>'[4]FOFIR  INCREMENTO'!D11+'[4]FFOR ESTIMACIONES'!D11</f>
        <v>224560.41676661855</v>
      </c>
      <c r="D8" s="647">
        <f>'[4]FOFIR  INCREMENTO'!E11+'[4]FFOR ESTIMACIONES'!E11</f>
        <v>224560.41676661855</v>
      </c>
      <c r="E8" s="647">
        <f>'[4]FOFIR  INCREMENTO'!F11+'[4]FFOR ESTIMACIONES'!F11</f>
        <v>415674.64870536816</v>
      </c>
      <c r="F8" s="647">
        <f>'[4]FOFIR  INCREMENTO'!G11+'[4]FFOR ESTIMACIONES'!G11</f>
        <v>224560.41676661855</v>
      </c>
      <c r="G8" s="647">
        <f>'[4]FOFIR  INCREMENTO'!H11+'[4]FFOR ESTIMACIONES'!H11</f>
        <v>224560.41676661855</v>
      </c>
      <c r="H8" s="647">
        <f>'[4]FOFIR  INCREMENTO'!I11+'[4]FFOR ESTIMACIONES'!I11</f>
        <v>349305.63097027713</v>
      </c>
      <c r="I8" s="647">
        <f>'[4]FOFIR  INCREMENTO'!J11+'[4]FFOR ESTIMACIONES'!J11</f>
        <v>224560.41676661861</v>
      </c>
      <c r="J8" s="647">
        <f>'[4]FOFIR  INCREMENTO'!K11+'[4]FFOR ESTIMACIONES'!K11</f>
        <v>224560.41676661861</v>
      </c>
      <c r="K8" s="647">
        <f>'[4]FOFIR  INCREMENTO'!L11+'[4]FFOR ESTIMACIONES'!L11</f>
        <v>355097.12288766826</v>
      </c>
      <c r="L8" s="647">
        <f>'[4]FOFIR  INCREMENTO'!M11+'[4]FFOR ESTIMACIONES'!M11</f>
        <v>224560.41676661867</v>
      </c>
      <c r="M8" s="647">
        <f>'[4]FOFIR  INCREMENTO'!N11+'[4]FFOR ESTIMACIONES'!N11</f>
        <v>224560.41676661867</v>
      </c>
      <c r="N8" s="648">
        <f t="shared" si="0"/>
        <v>3252458.8249071799</v>
      </c>
      <c r="P8" s="649"/>
    </row>
    <row r="9" spans="1:16" ht="12.75" customHeight="1" x14ac:dyDescent="0.2">
      <c r="A9" s="645" t="s">
        <v>284</v>
      </c>
      <c r="B9" s="647">
        <f>'[4]FOFIR  INCREMENTO'!C12+'[4]FFOR ESTIMACIONES'!C12</f>
        <v>136223.33080593604</v>
      </c>
      <c r="C9" s="647">
        <f>'[4]FOFIR  INCREMENTO'!D12+'[4]FFOR ESTIMACIONES'!D12</f>
        <v>106022.47054212105</v>
      </c>
      <c r="D9" s="647">
        <f>'[4]FOFIR  INCREMENTO'!E12+'[4]FFOR ESTIMACIONES'!E12</f>
        <v>106022.47054212105</v>
      </c>
      <c r="E9" s="647">
        <f>'[4]FOFIR  INCREMENTO'!F12+'[4]FFOR ESTIMACIONES'!F12</f>
        <v>160370.91559869357</v>
      </c>
      <c r="F9" s="647">
        <f>'[4]FOFIR  INCREMENTO'!G12+'[4]FFOR ESTIMACIONES'!G12</f>
        <v>106022.47054212105</v>
      </c>
      <c r="G9" s="647">
        <f>'[4]FOFIR  INCREMENTO'!H12+'[4]FFOR ESTIMACIONES'!H12</f>
        <v>106022.47054212105</v>
      </c>
      <c r="H9" s="647">
        <f>'[4]FOFIR  INCREMENTO'!I12+'[4]FFOR ESTIMACIONES'!I12</f>
        <v>134840.6604641614</v>
      </c>
      <c r="I9" s="647">
        <f>'[4]FOFIR  INCREMENTO'!J12+'[4]FFOR ESTIMACIONES'!J12</f>
        <v>106022.47054212107</v>
      </c>
      <c r="J9" s="647">
        <f>'[4]FOFIR  INCREMENTO'!K12+'[4]FFOR ESTIMACIONES'!K12</f>
        <v>106022.47054212107</v>
      </c>
      <c r="K9" s="647">
        <f>'[4]FOFIR  INCREMENTO'!L12+'[4]FFOR ESTIMACIONES'!L12</f>
        <v>140569.31906997022</v>
      </c>
      <c r="L9" s="647">
        <f>'[4]FOFIR  INCREMENTO'!M12+'[4]FFOR ESTIMACIONES'!M12</f>
        <v>106022.4705421211</v>
      </c>
      <c r="M9" s="647">
        <f>'[4]FOFIR  INCREMENTO'!N12+'[4]FFOR ESTIMACIONES'!N12</f>
        <v>106022.4705421211</v>
      </c>
      <c r="N9" s="648">
        <f t="shared" si="0"/>
        <v>1420183.9902757299</v>
      </c>
      <c r="P9" s="649"/>
    </row>
    <row r="10" spans="1:16" ht="12.75" customHeight="1" x14ac:dyDescent="0.2">
      <c r="A10" s="645" t="s">
        <v>152</v>
      </c>
      <c r="B10" s="647">
        <f>'[4]FOFIR  INCREMENTO'!C13+'[4]FFOR ESTIMACIONES'!C13</f>
        <v>46943.919635121681</v>
      </c>
      <c r="C10" s="647">
        <f>'[4]FOFIR  INCREMENTO'!D13+'[4]FFOR ESTIMACIONES'!D13</f>
        <v>36546.418155936706</v>
      </c>
      <c r="D10" s="647">
        <f>'[4]FOFIR  INCREMENTO'!E13+'[4]FFOR ESTIMACIONES'!E13</f>
        <v>36546.418155936706</v>
      </c>
      <c r="E10" s="647">
        <f>'[4]FOFIR  INCREMENTO'!F13+'[4]FFOR ESTIMACIONES'!F13</f>
        <v>55259.921339763569</v>
      </c>
      <c r="F10" s="647">
        <f>'[4]FOFIR  INCREMENTO'!G13+'[4]FFOR ESTIMACIONES'!G13</f>
        <v>36546.418155936706</v>
      </c>
      <c r="G10" s="647">
        <f>'[4]FOFIR  INCREMENTO'!H13+'[4]FFOR ESTIMACIONES'!H13</f>
        <v>36546.418155936706</v>
      </c>
      <c r="H10" s="647">
        <f>'[4]FOFIR  INCREMENTO'!I13+'[4]FFOR ESTIMACIONES'!I13</f>
        <v>46462.868832540647</v>
      </c>
      <c r="I10" s="647">
        <f>'[4]FOFIR  INCREMENTO'!J13+'[4]FFOR ESTIMACIONES'!J13</f>
        <v>36546.418155936706</v>
      </c>
      <c r="J10" s="647">
        <f>'[4]FOFIR  INCREMENTO'!K13+'[4]FFOR ESTIMACIONES'!K13</f>
        <v>36546.418155936706</v>
      </c>
      <c r="K10" s="647">
        <f>'[4]FOFIR  INCREMENTO'!L13+'[4]FFOR ESTIMACIONES'!L13</f>
        <v>48439.285993104728</v>
      </c>
      <c r="L10" s="647">
        <f>'[4]FOFIR  INCREMENTO'!M13+'[4]FFOR ESTIMACIONES'!M13</f>
        <v>36546.418155936721</v>
      </c>
      <c r="M10" s="647">
        <f>'[4]FOFIR  INCREMENTO'!N13+'[4]FFOR ESTIMACIONES'!N13</f>
        <v>36546.418155936721</v>
      </c>
      <c r="N10" s="648">
        <f t="shared" si="0"/>
        <v>489477.34104802425</v>
      </c>
      <c r="P10" s="649"/>
    </row>
    <row r="11" spans="1:16" ht="12.75" customHeight="1" x14ac:dyDescent="0.2">
      <c r="A11" s="645" t="s">
        <v>153</v>
      </c>
      <c r="B11" s="647">
        <f>'[4]FOFIR  INCREMENTO'!C14+'[4]FFOR ESTIMACIONES'!C14</f>
        <v>124230.24244290034</v>
      </c>
      <c r="C11" s="647">
        <f>'[4]FOFIR  INCREMENTO'!D14+'[4]FFOR ESTIMACIONES'!D14</f>
        <v>90312.547392919572</v>
      </c>
      <c r="D11" s="647">
        <f>'[4]FOFIR  INCREMENTO'!E14+'[4]FFOR ESTIMACIONES'!E14</f>
        <v>90312.547392919572</v>
      </c>
      <c r="E11" s="647">
        <f>'[4]FOFIR  INCREMENTO'!F14+'[4]FFOR ESTIMACIONES'!F14</f>
        <v>149750.89511270751</v>
      </c>
      <c r="F11" s="647">
        <f>'[4]FOFIR  INCREMENTO'!G14+'[4]FFOR ESTIMACIONES'!G14</f>
        <v>90312.547392919572</v>
      </c>
      <c r="G11" s="647">
        <f>'[4]FOFIR  INCREMENTO'!H14+'[4]FFOR ESTIMACIONES'!H14</f>
        <v>90312.547392919572</v>
      </c>
      <c r="H11" s="647">
        <f>'[4]FOFIR  INCREMENTO'!I14+'[4]FFOR ESTIMACIONES'!I14</f>
        <v>125877.45677451006</v>
      </c>
      <c r="I11" s="647">
        <f>'[4]FOFIR  INCREMENTO'!J14+'[4]FFOR ESTIMACIONES'!J14</f>
        <v>90312.547392919587</v>
      </c>
      <c r="J11" s="647">
        <f>'[4]FOFIR  INCREMENTO'!K14+'[4]FFOR ESTIMACIONES'!K14</f>
        <v>90312.547392919587</v>
      </c>
      <c r="K11" s="647">
        <f>'[4]FOFIR  INCREMENTO'!L14+'[4]FFOR ESTIMACIONES'!L14</f>
        <v>129660.53337129968</v>
      </c>
      <c r="L11" s="647">
        <f>'[4]FOFIR  INCREMENTO'!M14+'[4]FFOR ESTIMACIONES'!M14</f>
        <v>90312.547392919616</v>
      </c>
      <c r="M11" s="647">
        <f>'[4]FOFIR  INCREMENTO'!N14+'[4]FFOR ESTIMACIONES'!N14</f>
        <v>90312.547392919616</v>
      </c>
      <c r="N11" s="648">
        <f t="shared" si="0"/>
        <v>1252019.5068447744</v>
      </c>
      <c r="P11" s="649"/>
    </row>
    <row r="12" spans="1:16" ht="12.75" customHeight="1" x14ac:dyDescent="0.2">
      <c r="A12" s="645" t="s">
        <v>154</v>
      </c>
      <c r="B12" s="647">
        <f>'[4]FOFIR  INCREMENTO'!C15+'[4]FFOR ESTIMACIONES'!C15</f>
        <v>73217.41689484354</v>
      </c>
      <c r="C12" s="647">
        <f>'[4]FOFIR  INCREMENTO'!D15+'[4]FFOR ESTIMACIONES'!D15</f>
        <v>55839.774119728063</v>
      </c>
      <c r="D12" s="647">
        <f>'[4]FOFIR  INCREMENTO'!E15+'[4]FFOR ESTIMACIONES'!E15</f>
        <v>55839.774119728063</v>
      </c>
      <c r="E12" s="647">
        <f>'[4]FOFIR  INCREMENTO'!F15+'[4]FFOR ESTIMACIONES'!F15</f>
        <v>86824.803164653436</v>
      </c>
      <c r="F12" s="647">
        <f>'[4]FOFIR  INCREMENTO'!G15+'[4]FFOR ESTIMACIONES'!G15</f>
        <v>55839.774119728063</v>
      </c>
      <c r="G12" s="647">
        <f>'[4]FOFIR  INCREMENTO'!H15+'[4]FFOR ESTIMACIONES'!H15</f>
        <v>55839.774119728063</v>
      </c>
      <c r="H12" s="647">
        <f>'[4]FOFIR  INCREMENTO'!I15+'[4]FFOR ESTIMACIONES'!I15</f>
        <v>72996.646462266639</v>
      </c>
      <c r="I12" s="647">
        <f>'[4]FOFIR  INCREMENTO'!J15+'[4]FFOR ESTIMACIONES'!J15</f>
        <v>55839.77411972807</v>
      </c>
      <c r="J12" s="647">
        <f>'[4]FOFIR  INCREMENTO'!K15+'[4]FFOR ESTIMACIONES'!K15</f>
        <v>55839.77411972807</v>
      </c>
      <c r="K12" s="647">
        <f>'[4]FOFIR  INCREMENTO'!L15+'[4]FFOR ESTIMACIONES'!L15</f>
        <v>75816.803486396821</v>
      </c>
      <c r="L12" s="647">
        <f>'[4]FOFIR  INCREMENTO'!M15+'[4]FFOR ESTIMACIONES'!M15</f>
        <v>55839.774119728085</v>
      </c>
      <c r="M12" s="647">
        <f>'[4]FOFIR  INCREMENTO'!N15+'[4]FFOR ESTIMACIONES'!N15</f>
        <v>55839.774119728085</v>
      </c>
      <c r="N12" s="648">
        <f t="shared" si="0"/>
        <v>755573.86296598508</v>
      </c>
      <c r="P12" s="649"/>
    </row>
    <row r="13" spans="1:16" ht="12.75" customHeight="1" x14ac:dyDescent="0.2">
      <c r="A13" s="645" t="s">
        <v>155</v>
      </c>
      <c r="B13" s="647">
        <f>'[4]FOFIR  INCREMENTO'!C16+'[4]FFOR ESTIMACIONES'!C16</f>
        <v>54629.467025347098</v>
      </c>
      <c r="C13" s="647">
        <f>'[4]FOFIR  INCREMENTO'!D16+'[4]FFOR ESTIMACIONES'!D16</f>
        <v>41918.164215620891</v>
      </c>
      <c r="D13" s="647">
        <f>'[4]FOFIR  INCREMENTO'!E16+'[4]FFOR ESTIMACIONES'!E16</f>
        <v>41918.164215620891</v>
      </c>
      <c r="E13" s="647">
        <f>'[4]FOFIR  INCREMENTO'!F16+'[4]FFOR ESTIMACIONES'!F16</f>
        <v>64642.564346199848</v>
      </c>
      <c r="F13" s="647">
        <f>'[4]FOFIR  INCREMENTO'!G16+'[4]FFOR ESTIMACIONES'!G16</f>
        <v>41918.164215620891</v>
      </c>
      <c r="G13" s="647">
        <f>'[4]FOFIR  INCREMENTO'!H16+'[4]FFOR ESTIMACIONES'!H16</f>
        <v>41918.164215620891</v>
      </c>
      <c r="H13" s="647">
        <f>'[4]FOFIR  INCREMENTO'!I16+'[4]FFOR ESTIMACIONES'!I16</f>
        <v>54348.604601859013</v>
      </c>
      <c r="I13" s="647">
        <f>'[4]FOFIR  INCREMENTO'!J16+'[4]FFOR ESTIMACIONES'!J16</f>
        <v>41918.164215620898</v>
      </c>
      <c r="J13" s="647">
        <f>'[4]FOFIR  INCREMENTO'!K16+'[4]FFOR ESTIMACIONES'!K16</f>
        <v>41918.164215620898</v>
      </c>
      <c r="K13" s="647">
        <f>'[4]FOFIR  INCREMENTO'!L16+'[4]FFOR ESTIMACIONES'!L16</f>
        <v>56510.355805752377</v>
      </c>
      <c r="L13" s="647">
        <f>'[4]FOFIR  INCREMENTO'!M16+'[4]FFOR ESTIMACIONES'!M16</f>
        <v>41918.164215620913</v>
      </c>
      <c r="M13" s="647">
        <f>'[4]FOFIR  INCREMENTO'!N16+'[4]FFOR ESTIMACIONES'!N16</f>
        <v>41918.164215620913</v>
      </c>
      <c r="N13" s="648">
        <f t="shared" si="0"/>
        <v>565476.30550412554</v>
      </c>
      <c r="P13" s="649"/>
    </row>
    <row r="14" spans="1:16" ht="12.75" customHeight="1" x14ac:dyDescent="0.2">
      <c r="A14" s="645" t="s">
        <v>156</v>
      </c>
      <c r="B14" s="647">
        <f>'[4]FOFIR  INCREMENTO'!C17+'[4]FFOR ESTIMACIONES'!C17</f>
        <v>145506.38386108386</v>
      </c>
      <c r="C14" s="647">
        <f>'[4]FOFIR  INCREMENTO'!D17+'[4]FFOR ESTIMACIONES'!D17</f>
        <v>111856.14487044928</v>
      </c>
      <c r="D14" s="647">
        <f>'[4]FOFIR  INCREMENTO'!E17+'[4]FFOR ESTIMACIONES'!E17</f>
        <v>111856.14487044928</v>
      </c>
      <c r="E14" s="647">
        <f>'[4]FOFIR  INCREMENTO'!F17+'[4]FFOR ESTIMACIONES'!F17</f>
        <v>172063.08587293784</v>
      </c>
      <c r="F14" s="647">
        <f>'[4]FOFIR  INCREMENTO'!G17+'[4]FFOR ESTIMACIONES'!G17</f>
        <v>111856.14487044928</v>
      </c>
      <c r="G14" s="647">
        <f>'[4]FOFIR  INCREMENTO'!H17+'[4]FFOR ESTIMACIONES'!H17</f>
        <v>111856.14487044928</v>
      </c>
      <c r="H14" s="647">
        <f>'[4]FOFIR  INCREMENTO'!I17+'[4]FFOR ESTIMACIONES'!I17</f>
        <v>144664.11103260936</v>
      </c>
      <c r="I14" s="647">
        <f>'[4]FOFIR  INCREMENTO'!J17+'[4]FFOR ESTIMACIONES'!J17</f>
        <v>111856.14487044929</v>
      </c>
      <c r="J14" s="647">
        <f>'[4]FOFIR  INCREMENTO'!K17+'[4]FFOR ESTIMACIONES'!K17</f>
        <v>111856.14487044929</v>
      </c>
      <c r="K14" s="647">
        <f>'[4]FOFIR  INCREMENTO'!L17+'[4]FFOR ESTIMACIONES'!L17</f>
        <v>150468.64672921068</v>
      </c>
      <c r="L14" s="647">
        <f>'[4]FOFIR  INCREMENTO'!M17+'[4]FFOR ESTIMACIONES'!M17</f>
        <v>111856.14487044932</v>
      </c>
      <c r="M14" s="647">
        <f>'[4]FOFIR  INCREMENTO'!N17+'[4]FFOR ESTIMACIONES'!N17</f>
        <v>111856.14487044932</v>
      </c>
      <c r="N14" s="648">
        <f t="shared" si="0"/>
        <v>1507551.386459436</v>
      </c>
      <c r="P14" s="649"/>
    </row>
    <row r="15" spans="1:16" ht="12.75" customHeight="1" x14ac:dyDescent="0.2">
      <c r="A15" s="645" t="s">
        <v>157</v>
      </c>
      <c r="B15" s="647">
        <f>'[4]FOFIR  INCREMENTO'!C18+'[4]FFOR ESTIMACIONES'!C18</f>
        <v>95281.562275807373</v>
      </c>
      <c r="C15" s="647">
        <f>'[4]FOFIR  INCREMENTO'!D18+'[4]FFOR ESTIMACIONES'!D18</f>
        <v>72968.796871253828</v>
      </c>
      <c r="D15" s="647">
        <f>'[4]FOFIR  INCREMENTO'!E18+'[4]FFOR ESTIMACIONES'!E18</f>
        <v>72968.796871253828</v>
      </c>
      <c r="E15" s="647">
        <f>'[4]FOFIR  INCREMENTO'!F18+'[4]FFOR ESTIMACIONES'!F18</f>
        <v>112824.00287479749</v>
      </c>
      <c r="F15" s="647">
        <f>'[4]FOFIR  INCREMENTO'!G18+'[4]FFOR ESTIMACIONES'!G18</f>
        <v>72968.796871253828</v>
      </c>
      <c r="G15" s="647">
        <f>'[4]FOFIR  INCREMENTO'!H18+'[4]FFOR ESTIMACIONES'!H18</f>
        <v>72968.796871253828</v>
      </c>
      <c r="H15" s="647">
        <f>'[4]FOFIR  INCREMENTO'!I18+'[4]FFOR ESTIMACIONES'!I18</f>
        <v>94856.671654094942</v>
      </c>
      <c r="I15" s="647">
        <f>'[4]FOFIR  INCREMENTO'!J18+'[4]FFOR ESTIMACIONES'!J18</f>
        <v>72968.796871253842</v>
      </c>
      <c r="J15" s="647">
        <f>'[4]FOFIR  INCREMENTO'!K18+'[4]FFOR ESTIMACIONES'!K18</f>
        <v>72968.796871253842</v>
      </c>
      <c r="K15" s="647">
        <f>'[4]FOFIR  INCREMENTO'!L18+'[4]FFOR ESTIMACIONES'!L18</f>
        <v>98594.8735892369</v>
      </c>
      <c r="L15" s="647">
        <f>'[4]FOFIR  INCREMENTO'!M18+'[4]FFOR ESTIMACIONES'!M18</f>
        <v>72968.796871253857</v>
      </c>
      <c r="M15" s="647">
        <f>'[4]FOFIR  INCREMENTO'!N18+'[4]FFOR ESTIMACIONES'!N18</f>
        <v>72968.796871253857</v>
      </c>
      <c r="N15" s="648">
        <f t="shared" si="0"/>
        <v>985307.48536396737</v>
      </c>
      <c r="P15" s="649"/>
    </row>
    <row r="16" spans="1:16" ht="12.75" customHeight="1" x14ac:dyDescent="0.2">
      <c r="A16" s="645" t="s">
        <v>158</v>
      </c>
      <c r="B16" s="647">
        <f>'[4]FOFIR  INCREMENTO'!C19+'[4]FFOR ESTIMACIONES'!C19</f>
        <v>175211.10725289915</v>
      </c>
      <c r="C16" s="647">
        <f>'[4]FOFIR  INCREMENTO'!D19+'[4]FFOR ESTIMACIONES'!D19</f>
        <v>130974.14327742736</v>
      </c>
      <c r="D16" s="647">
        <f>'[4]FOFIR  INCREMENTO'!E19+'[4]FFOR ESTIMACIONES'!E19</f>
        <v>130974.14327742736</v>
      </c>
      <c r="E16" s="647">
        <f>'[4]FOFIR  INCREMENTO'!F19+'[4]FFOR ESTIMACIONES'!F19</f>
        <v>209229.25806835794</v>
      </c>
      <c r="F16" s="647">
        <f>'[4]FOFIR  INCREMENTO'!G19+'[4]FFOR ESTIMACIONES'!G19</f>
        <v>130974.14327742736</v>
      </c>
      <c r="G16" s="647">
        <f>'[4]FOFIR  INCREMENTO'!H19+'[4]FFOR ESTIMACIONES'!H19</f>
        <v>130974.14327742736</v>
      </c>
      <c r="H16" s="647">
        <f>'[4]FOFIR  INCREMENTO'!I19+'[4]FFOR ESTIMACIONES'!I19</f>
        <v>175892.37743240609</v>
      </c>
      <c r="I16" s="647">
        <f>'[4]FOFIR  INCREMENTO'!J19+'[4]FFOR ESTIMACIONES'!J19</f>
        <v>130974.14327742737</v>
      </c>
      <c r="J16" s="647">
        <f>'[4]FOFIR  INCREMENTO'!K19+'[4]FFOR ESTIMACIONES'!K19</f>
        <v>130974.14327742737</v>
      </c>
      <c r="K16" s="647">
        <f>'[4]FOFIR  INCREMENTO'!L19+'[4]FFOR ESTIMACIONES'!L19</f>
        <v>182041.63685868873</v>
      </c>
      <c r="L16" s="647">
        <f>'[4]FOFIR  INCREMENTO'!M19+'[4]FFOR ESTIMACIONES'!M19</f>
        <v>130974.1432774274</v>
      </c>
      <c r="M16" s="647">
        <f>'[4]FOFIR  INCREMENTO'!N19+'[4]FFOR ESTIMACIONES'!N19</f>
        <v>130974.1432774274</v>
      </c>
      <c r="N16" s="648">
        <f t="shared" si="0"/>
        <v>1790167.5258317711</v>
      </c>
      <c r="P16" s="649"/>
    </row>
    <row r="17" spans="1:16" ht="12.75" customHeight="1" x14ac:dyDescent="0.2">
      <c r="A17" s="645" t="s">
        <v>285</v>
      </c>
      <c r="B17" s="647">
        <f>'[4]FOFIR  INCREMENTO'!C20+'[4]FFOR ESTIMACIONES'!C20</f>
        <v>32082.245978128209</v>
      </c>
      <c r="C17" s="647">
        <f>'[4]FOFIR  INCREMENTO'!D20+'[4]FFOR ESTIMACIONES'!D20</f>
        <v>24734.573295392911</v>
      </c>
      <c r="D17" s="647">
        <f>'[4]FOFIR  INCREMENTO'!E20+'[4]FFOR ESTIMACIONES'!E20</f>
        <v>24734.573295392911</v>
      </c>
      <c r="E17" s="647">
        <f>'[4]FOFIR  INCREMENTO'!F20+'[4]FFOR ESTIMACIONES'!F20</f>
        <v>37898.266086048701</v>
      </c>
      <c r="F17" s="647">
        <f>'[4]FOFIR  INCREMENTO'!G20+'[4]FFOR ESTIMACIONES'!G20</f>
        <v>24734.573295392911</v>
      </c>
      <c r="G17" s="647">
        <f>'[4]FOFIR  INCREMENTO'!H20+'[4]FFOR ESTIMACIONES'!H20</f>
        <v>24734.573295392911</v>
      </c>
      <c r="H17" s="647">
        <f>'[4]FOFIR  INCREMENTO'!I20+'[4]FFOR ESTIMACIONES'!I20</f>
        <v>31863.80267220438</v>
      </c>
      <c r="I17" s="647">
        <f>'[4]FOFIR  INCREMENTO'!J20+'[4]FFOR ESTIMACIONES'!J20</f>
        <v>24734.573295392915</v>
      </c>
      <c r="J17" s="647">
        <f>'[4]FOFIR  INCREMENTO'!K20+'[4]FFOR ESTIMACIONES'!K20</f>
        <v>24734.573295392915</v>
      </c>
      <c r="K17" s="647">
        <f>'[4]FOFIR  INCREMENTO'!L20+'[4]FFOR ESTIMACIONES'!L20</f>
        <v>33159.848552051655</v>
      </c>
      <c r="L17" s="647">
        <f>'[4]FOFIR  INCREMENTO'!M20+'[4]FFOR ESTIMACIONES'!M20</f>
        <v>24734.573295392922</v>
      </c>
      <c r="M17" s="647">
        <f>'[4]FOFIR  INCREMENTO'!N20+'[4]FFOR ESTIMACIONES'!N20</f>
        <v>24734.573295392922</v>
      </c>
      <c r="N17" s="648">
        <f t="shared" si="0"/>
        <v>332880.74965157622</v>
      </c>
      <c r="P17" s="649"/>
    </row>
    <row r="18" spans="1:16" ht="12.75" customHeight="1" x14ac:dyDescent="0.2">
      <c r="A18" s="645" t="s">
        <v>286</v>
      </c>
      <c r="B18" s="647">
        <f>'[4]FOFIR  INCREMENTO'!C21+'[4]FFOR ESTIMACIONES'!C21</f>
        <v>99391.400023789014</v>
      </c>
      <c r="C18" s="647">
        <f>'[4]FOFIR  INCREMENTO'!D21+'[4]FFOR ESTIMACIONES'!D21</f>
        <v>75403.363201752349</v>
      </c>
      <c r="D18" s="647">
        <f>'[4]FOFIR  INCREMENTO'!E21+'[4]FFOR ESTIMACIONES'!E21</f>
        <v>75403.363201752349</v>
      </c>
      <c r="E18" s="647">
        <f>'[4]FOFIR  INCREMENTO'!F21+'[4]FFOR ESTIMACIONES'!F21</f>
        <v>118081.71964193785</v>
      </c>
      <c r="F18" s="647">
        <f>'[4]FOFIR  INCREMENTO'!G21+'[4]FFOR ESTIMACIONES'!G21</f>
        <v>75403.363201752349</v>
      </c>
      <c r="G18" s="647">
        <f>'[4]FOFIR  INCREMENTO'!H21+'[4]FFOR ESTIMACIONES'!H21</f>
        <v>75403.363201752349</v>
      </c>
      <c r="H18" s="647">
        <f>'[4]FOFIR  INCREMENTO'!I21+'[4]FFOR ESTIMACIONES'!I21</f>
        <v>99273.330570092847</v>
      </c>
      <c r="I18" s="647">
        <f>'[4]FOFIR  INCREMENTO'!J21+'[4]FFOR ESTIMACIONES'!J21</f>
        <v>75403.363201752363</v>
      </c>
      <c r="J18" s="647">
        <f>'[4]FOFIR  INCREMENTO'!K21+'[4]FFOR ESTIMACIONES'!K21</f>
        <v>75403.363201752363</v>
      </c>
      <c r="K18" s="647">
        <f>'[4]FOFIR  INCREMENTO'!L21+'[4]FFOR ESTIMACIONES'!L21</f>
        <v>103011.63676344753</v>
      </c>
      <c r="L18" s="647">
        <f>'[4]FOFIR  INCREMENTO'!M21+'[4]FFOR ESTIMACIONES'!M21</f>
        <v>75403.363201752378</v>
      </c>
      <c r="M18" s="647">
        <f>'[4]FOFIR  INCREMENTO'!N21+'[4]FFOR ESTIMACIONES'!N21</f>
        <v>75403.363201752378</v>
      </c>
      <c r="N18" s="648">
        <f t="shared" si="0"/>
        <v>1022984.9926132861</v>
      </c>
      <c r="P18" s="649"/>
    </row>
    <row r="19" spans="1:16" ht="12.75" customHeight="1" x14ac:dyDescent="0.2">
      <c r="A19" s="645" t="s">
        <v>287</v>
      </c>
      <c r="B19" s="647">
        <f>'[4]FOFIR  INCREMENTO'!C22+'[4]FFOR ESTIMACIONES'!C22</f>
        <v>420065.61621562677</v>
      </c>
      <c r="C19" s="647">
        <f>'[4]FOFIR  INCREMENTO'!D22+'[4]FFOR ESTIMACIONES'!D22</f>
        <v>297399.6705633708</v>
      </c>
      <c r="D19" s="647">
        <f>'[4]FOFIR  INCREMENTO'!E22+'[4]FFOR ESTIMACIONES'!E22</f>
        <v>297399.6705633708</v>
      </c>
      <c r="E19" s="647">
        <f>'[4]FOFIR  INCREMENTO'!F22+'[4]FFOR ESTIMACIONES'!F22</f>
        <v>510738.40749591962</v>
      </c>
      <c r="F19" s="647">
        <f>'[4]FOFIR  INCREMENTO'!G22+'[4]FFOR ESTIMACIONES'!G22</f>
        <v>297399.6705633708</v>
      </c>
      <c r="G19" s="647">
        <f>'[4]FOFIR  INCREMENTO'!H22+'[4]FFOR ESTIMACIONES'!H22</f>
        <v>297399.6705633708</v>
      </c>
      <c r="H19" s="647">
        <f>'[4]FOFIR  INCREMENTO'!I22+'[4]FFOR ESTIMACIONES'!I22</f>
        <v>429274.62224649225</v>
      </c>
      <c r="I19" s="647">
        <f>'[4]FOFIR  INCREMENTO'!J22+'[4]FFOR ESTIMACIONES'!J22</f>
        <v>297399.6705633708</v>
      </c>
      <c r="J19" s="647">
        <f>'[4]FOFIR  INCREMENTO'!K22+'[4]FFOR ESTIMACIONES'!K22</f>
        <v>297399.6705633708</v>
      </c>
      <c r="K19" s="647">
        <f>'[4]FOFIR  INCREMENTO'!L22+'[4]FFOR ESTIMACIONES'!L22</f>
        <v>440262.99265450577</v>
      </c>
      <c r="L19" s="647">
        <f>'[4]FOFIR  INCREMENTO'!M22+'[4]FFOR ESTIMACIONES'!M22</f>
        <v>297399.67056337092</v>
      </c>
      <c r="M19" s="647">
        <f>'[4]FOFIR  INCREMENTO'!N22+'[4]FFOR ESTIMACIONES'!N22</f>
        <v>297399.67056337092</v>
      </c>
      <c r="N19" s="648">
        <f t="shared" si="0"/>
        <v>4179539.0031195115</v>
      </c>
      <c r="P19" s="649"/>
    </row>
    <row r="20" spans="1:16" ht="12.75" customHeight="1" x14ac:dyDescent="0.2">
      <c r="A20" s="645" t="s">
        <v>162</v>
      </c>
      <c r="B20" s="647">
        <f>'[4]FOFIR  INCREMENTO'!C23+'[4]FFOR ESTIMACIONES'!C23</f>
        <v>170533.97903100238</v>
      </c>
      <c r="C20" s="647">
        <f>'[4]FOFIR  INCREMENTO'!D23+'[4]FFOR ESTIMACIONES'!D23</f>
        <v>129601.39277329139</v>
      </c>
      <c r="D20" s="647">
        <f>'[4]FOFIR  INCREMENTO'!E23+'[4]FFOR ESTIMACIONES'!E23</f>
        <v>129601.39277329139</v>
      </c>
      <c r="E20" s="647">
        <f>'[4]FOFIR  INCREMENTO'!F23+'[4]FFOR ESTIMACIONES'!F23</f>
        <v>202478.65253937428</v>
      </c>
      <c r="F20" s="647">
        <f>'[4]FOFIR  INCREMENTO'!G23+'[4]FFOR ESTIMACIONES'!G23</f>
        <v>129601.39277329139</v>
      </c>
      <c r="G20" s="647">
        <f>'[4]FOFIR  INCREMENTO'!H23+'[4]FFOR ESTIMACIONES'!H23</f>
        <v>129601.39277329139</v>
      </c>
      <c r="H20" s="647">
        <f>'[4]FOFIR  INCREMENTO'!I23+'[4]FFOR ESTIMACIONES'!I23</f>
        <v>170228.46891281396</v>
      </c>
      <c r="I20" s="647">
        <f>'[4]FOFIR  INCREMENTO'!J23+'[4]FFOR ESTIMACIONES'!J23</f>
        <v>129601.3927732914</v>
      </c>
      <c r="J20" s="647">
        <f>'[4]FOFIR  INCREMENTO'!K23+'[4]FFOR ESTIMACIONES'!K23</f>
        <v>129601.3927732914</v>
      </c>
      <c r="K20" s="647">
        <f>'[4]FOFIR  INCREMENTO'!L23+'[4]FFOR ESTIMACIONES'!L23</f>
        <v>176693.59722003041</v>
      </c>
      <c r="L20" s="647">
        <f>'[4]FOFIR  INCREMENTO'!M23+'[4]FFOR ESTIMACIONES'!M23</f>
        <v>129601.39277329143</v>
      </c>
      <c r="M20" s="647">
        <f>'[4]FOFIR  INCREMENTO'!N23+'[4]FFOR ESTIMACIONES'!N23</f>
        <v>129601.39277329143</v>
      </c>
      <c r="N20" s="648">
        <f t="shared" si="0"/>
        <v>1756745.839889552</v>
      </c>
      <c r="P20" s="649"/>
    </row>
    <row r="21" spans="1:16" ht="12.75" customHeight="1" x14ac:dyDescent="0.2">
      <c r="A21" s="645" t="s">
        <v>163</v>
      </c>
      <c r="B21" s="647">
        <f>'[4]FOFIR  INCREMENTO'!C24+'[4]FFOR ESTIMACIONES'!C24</f>
        <v>4412920.4130918365</v>
      </c>
      <c r="C21" s="647">
        <f>'[4]FOFIR  INCREMENTO'!D24+'[4]FFOR ESTIMACIONES'!D24</f>
        <v>1495464.6506116232</v>
      </c>
      <c r="D21" s="647">
        <f>'[4]FOFIR  INCREMENTO'!E24+'[4]FFOR ESTIMACIONES'!E24</f>
        <v>1495464.6506116232</v>
      </c>
      <c r="E21" s="647">
        <f>'[4]FOFIR  INCREMENTO'!F24+'[4]FFOR ESTIMACIONES'!F24</f>
        <v>6259364.9387764577</v>
      </c>
      <c r="F21" s="647">
        <f>'[4]FOFIR  INCREMENTO'!G24+'[4]FFOR ESTIMACIONES'!G24</f>
        <v>1495464.6506116232</v>
      </c>
      <c r="G21" s="647">
        <f>'[4]FOFIR  INCREMENTO'!H24+'[4]FFOR ESTIMACIONES'!H24</f>
        <v>1495464.6506116232</v>
      </c>
      <c r="H21" s="647">
        <f>'[4]FOFIR  INCREMENTO'!I24+'[4]FFOR ESTIMACIONES'!I24</f>
        <v>5252613.6326778764</v>
      </c>
      <c r="I21" s="647">
        <f>'[4]FOFIR  INCREMENTO'!J24+'[4]FFOR ESTIMACIONES'!J24</f>
        <v>1495464.6506116227</v>
      </c>
      <c r="J21" s="647">
        <f>'[4]FOFIR  INCREMENTO'!K24+'[4]FFOR ESTIMACIONES'!K24</f>
        <v>1495464.6506116227</v>
      </c>
      <c r="K21" s="647">
        <f>'[4]FOFIR  INCREMENTO'!L24+'[4]FFOR ESTIMACIONES'!L24</f>
        <v>4999856.7513061259</v>
      </c>
      <c r="L21" s="647">
        <f>'[4]FOFIR  INCREMENTO'!M24+'[4]FFOR ESTIMACIONES'!M24</f>
        <v>1495464.650611623</v>
      </c>
      <c r="M21" s="647">
        <f>'[4]FOFIR  INCREMENTO'!N24+'[4]FFOR ESTIMACIONES'!N24</f>
        <v>1495464.650611623</v>
      </c>
      <c r="N21" s="648">
        <f t="shared" si="0"/>
        <v>32888472.940745287</v>
      </c>
      <c r="P21" s="649"/>
    </row>
    <row r="22" spans="1:16" ht="12.75" customHeight="1" x14ac:dyDescent="0.2">
      <c r="A22" s="645" t="s">
        <v>164</v>
      </c>
      <c r="B22" s="647">
        <f>'[4]FOFIR  INCREMENTO'!C25+'[4]FFOR ESTIMACIONES'!C25</f>
        <v>129036.36345567444</v>
      </c>
      <c r="C22" s="647">
        <f>'[4]FOFIR  INCREMENTO'!D25+'[4]FFOR ESTIMACIONES'!D25</f>
        <v>99018.198689019351</v>
      </c>
      <c r="D22" s="647">
        <f>'[4]FOFIR  INCREMENTO'!E25+'[4]FFOR ESTIMACIONES'!E25</f>
        <v>99018.198689019351</v>
      </c>
      <c r="E22" s="647">
        <f>'[4]FOFIR  INCREMENTO'!F25+'[4]FFOR ESTIMACIONES'!F25</f>
        <v>152684.13042086223</v>
      </c>
      <c r="F22" s="647">
        <f>'[4]FOFIR  INCREMENTO'!G25+'[4]FFOR ESTIMACIONES'!G25</f>
        <v>99018.198689019351</v>
      </c>
      <c r="G22" s="647">
        <f>'[4]FOFIR  INCREMENTO'!H25+'[4]FFOR ESTIMACIONES'!H25</f>
        <v>99018.198689019351</v>
      </c>
      <c r="H22" s="647">
        <f>'[4]FOFIR  INCREMENTO'!I25+'[4]FFOR ESTIMACIONES'!I25</f>
        <v>128370.08658560559</v>
      </c>
      <c r="I22" s="647">
        <f>'[4]FOFIR  INCREMENTO'!J25+'[4]FFOR ESTIMACIONES'!J25</f>
        <v>99018.198689019366</v>
      </c>
      <c r="J22" s="647">
        <f>'[4]FOFIR  INCREMENTO'!K25+'[4]FFOR ESTIMACIONES'!K25</f>
        <v>99018.198689019366</v>
      </c>
      <c r="K22" s="647">
        <f>'[4]FOFIR  INCREMENTO'!L25+'[4]FFOR ESTIMACIONES'!L25</f>
        <v>133477.62796442886</v>
      </c>
      <c r="L22" s="647">
        <f>'[4]FOFIR  INCREMENTO'!M25+'[4]FFOR ESTIMACIONES'!M25</f>
        <v>99018.198689019395</v>
      </c>
      <c r="M22" s="647">
        <f>'[4]FOFIR  INCREMENTO'!N25+'[4]FFOR ESTIMACIONES'!N25</f>
        <v>99018.198689019395</v>
      </c>
      <c r="N22" s="648">
        <f t="shared" si="0"/>
        <v>1335713.7979387259</v>
      </c>
      <c r="P22" s="649"/>
    </row>
    <row r="23" spans="1:16" ht="12.75" customHeight="1" thickBot="1" x14ac:dyDescent="0.25">
      <c r="A23" s="645" t="s">
        <v>165</v>
      </c>
      <c r="B23" s="647">
        <f>'[4]FOFIR  INCREMENTO'!C26+'[4]FFOR ESTIMACIONES'!C26</f>
        <v>252294.59741357152</v>
      </c>
      <c r="C23" s="647">
        <f>'[4]FOFIR  INCREMENTO'!D26+'[4]FFOR ESTIMACIONES'!D26</f>
        <v>155725.51565779196</v>
      </c>
      <c r="D23" s="647">
        <f>'[4]FOFIR  INCREMENTO'!E26+'[4]FFOR ESTIMACIONES'!E26</f>
        <v>155725.51565779196</v>
      </c>
      <c r="E23" s="647">
        <f>'[4]FOFIR  INCREMENTO'!F26+'[4]FFOR ESTIMACIONES'!F26</f>
        <v>319318.22507719009</v>
      </c>
      <c r="F23" s="647">
        <f>'[4]FOFIR  INCREMENTO'!G26+'[4]FFOR ESTIMACIONES'!G26</f>
        <v>155725.51565779196</v>
      </c>
      <c r="G23" s="647">
        <f>'[4]FOFIR  INCREMENTO'!H26+'[4]FFOR ESTIMACIONES'!H26</f>
        <v>155725.51565779196</v>
      </c>
      <c r="H23" s="647">
        <f>'[4]FOFIR  INCREMENTO'!I26+'[4]FFOR ESTIMACIONES'!I26</f>
        <v>268268.68315012148</v>
      </c>
      <c r="I23" s="647">
        <f>'[4]FOFIR  INCREMENTO'!J26+'[4]FFOR ESTIMACIONES'!J26</f>
        <v>155725.51565779193</v>
      </c>
      <c r="J23" s="647">
        <f>'[4]FOFIR  INCREMENTO'!K26+'[4]FFOR ESTIMACIONES'!K26</f>
        <v>155725.51565779193</v>
      </c>
      <c r="K23" s="647">
        <f>'[4]FOFIR  INCREMENTO'!L26+'[4]FFOR ESTIMACIONES'!L26</f>
        <v>269692.96717135882</v>
      </c>
      <c r="L23" s="647">
        <f>'[4]FOFIR  INCREMENTO'!M26+'[4]FFOR ESTIMACIONES'!M26</f>
        <v>155725.51565779198</v>
      </c>
      <c r="M23" s="647">
        <f>'[4]FOFIR  INCREMENTO'!N26+'[4]FFOR ESTIMACIONES'!N26</f>
        <v>155725.51565779198</v>
      </c>
      <c r="N23" s="648">
        <f t="shared" si="0"/>
        <v>2355378.5980745773</v>
      </c>
      <c r="P23" s="649"/>
    </row>
    <row r="24" spans="1:16" ht="13.5" thickBot="1" x14ac:dyDescent="0.25">
      <c r="A24" s="650" t="s">
        <v>288</v>
      </c>
      <c r="B24" s="652">
        <f t="shared" ref="B24:M24" si="1">SUM(B4:B23)</f>
        <v>8600323.0550843012</v>
      </c>
      <c r="C24" s="652">
        <f t="shared" si="1"/>
        <v>3786233.6736040069</v>
      </c>
      <c r="D24" s="652">
        <f t="shared" si="1"/>
        <v>3786233.6736040069</v>
      </c>
      <c r="E24" s="652">
        <f t="shared" si="1"/>
        <v>11720443.243427617</v>
      </c>
      <c r="F24" s="652">
        <f t="shared" si="1"/>
        <v>3786233.6736040069</v>
      </c>
      <c r="G24" s="652">
        <f t="shared" si="1"/>
        <v>3786233.6736040069</v>
      </c>
      <c r="H24" s="652">
        <f t="shared" si="1"/>
        <v>9839176.3666764665</v>
      </c>
      <c r="I24" s="652">
        <f t="shared" si="1"/>
        <v>3786233.6736040059</v>
      </c>
      <c r="J24" s="652">
        <f t="shared" si="1"/>
        <v>3786233.6736040059</v>
      </c>
      <c r="K24" s="652">
        <f t="shared" si="1"/>
        <v>9543633.8618403543</v>
      </c>
      <c r="L24" s="652">
        <f t="shared" si="1"/>
        <v>3786233.6736040064</v>
      </c>
      <c r="M24" s="652">
        <f t="shared" si="1"/>
        <v>3786233.6736040064</v>
      </c>
      <c r="N24" s="652">
        <f t="shared" si="0"/>
        <v>69993445.915860787</v>
      </c>
    </row>
    <row r="25" spans="1:16" x14ac:dyDescent="0.2">
      <c r="A25" s="653"/>
      <c r="B25" s="653"/>
      <c r="C25" s="653"/>
      <c r="D25" s="653"/>
      <c r="E25" s="653"/>
      <c r="F25" s="653"/>
      <c r="G25" s="653"/>
      <c r="H25" s="653"/>
      <c r="I25" s="653"/>
      <c r="J25" s="653"/>
      <c r="K25" s="653"/>
      <c r="L25" s="653"/>
      <c r="M25" s="653"/>
      <c r="N25" s="653"/>
    </row>
    <row r="26" spans="1:16" x14ac:dyDescent="0.2">
      <c r="A26" s="654" t="s">
        <v>289</v>
      </c>
    </row>
  </sheetData>
  <mergeCells count="1">
    <mergeCell ref="A1:N1"/>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rgb="FFFFFF00"/>
  </sheetPr>
  <dimension ref="A1:Q30"/>
  <sheetViews>
    <sheetView workbookViewId="0">
      <selection activeCell="B7" sqref="B7"/>
    </sheetView>
  </sheetViews>
  <sheetFormatPr baseColWidth="10" defaultRowHeight="15" x14ac:dyDescent="0.25"/>
  <cols>
    <col min="1" max="1" width="16.5703125" customWidth="1"/>
    <col min="2" max="2" width="9.28515625" customWidth="1"/>
    <col min="3" max="10" width="7.85546875" customWidth="1"/>
    <col min="11" max="11" width="10.140625" bestFit="1" customWidth="1"/>
    <col min="12" max="12" width="7.85546875" customWidth="1"/>
    <col min="13" max="14" width="10.140625" bestFit="1" customWidth="1"/>
    <col min="15" max="15" width="7.85546875" customWidth="1"/>
    <col min="16" max="16" width="12.7109375" bestFit="1" customWidth="1"/>
  </cols>
  <sheetData>
    <row r="1" spans="1:17" x14ac:dyDescent="0.25">
      <c r="A1" s="1237" t="s">
        <v>389</v>
      </c>
      <c r="B1" s="1237"/>
      <c r="C1" s="1237"/>
      <c r="D1" s="1237"/>
      <c r="E1" s="1237"/>
      <c r="F1" s="1237"/>
      <c r="G1" s="1237"/>
      <c r="H1" s="1237"/>
      <c r="I1" s="1237"/>
      <c r="J1" s="1237"/>
      <c r="K1" s="1237"/>
      <c r="L1" s="1237"/>
      <c r="M1" s="1237"/>
      <c r="N1" s="1237"/>
      <c r="O1" s="1237"/>
      <c r="P1" s="640"/>
      <c r="Q1" s="640"/>
    </row>
    <row r="2" spans="1:17" ht="15.75" thickBot="1" x14ac:dyDescent="0.3">
      <c r="A2" s="640"/>
      <c r="B2" s="640"/>
      <c r="C2" s="640"/>
      <c r="D2" s="640"/>
      <c r="E2" s="640"/>
      <c r="F2" s="640"/>
      <c r="G2" s="640"/>
      <c r="H2" s="640"/>
      <c r="I2" s="640"/>
      <c r="J2" s="640"/>
      <c r="K2" s="640"/>
      <c r="L2" s="640"/>
      <c r="M2" s="640"/>
      <c r="N2" s="640"/>
      <c r="O2" s="640"/>
      <c r="P2" s="640"/>
      <c r="Q2" s="640"/>
    </row>
    <row r="3" spans="1:17" ht="24" thickBot="1" x14ac:dyDescent="0.3">
      <c r="A3" s="641" t="s">
        <v>346</v>
      </c>
      <c r="B3" s="642" t="s">
        <v>281</v>
      </c>
      <c r="C3" s="641" t="s">
        <v>1</v>
      </c>
      <c r="D3" s="643" t="s">
        <v>2</v>
      </c>
      <c r="E3" s="641" t="s">
        <v>3</v>
      </c>
      <c r="F3" s="643" t="s">
        <v>4</v>
      </c>
      <c r="G3" s="641" t="s">
        <v>5</v>
      </c>
      <c r="H3" s="641" t="s">
        <v>6</v>
      </c>
      <c r="I3" s="641" t="s">
        <v>7</v>
      </c>
      <c r="J3" s="643" t="s">
        <v>8</v>
      </c>
      <c r="K3" s="641" t="s">
        <v>9</v>
      </c>
      <c r="L3" s="643" t="s">
        <v>10</v>
      </c>
      <c r="M3" s="641" t="s">
        <v>11</v>
      </c>
      <c r="N3" s="641" t="s">
        <v>12</v>
      </c>
      <c r="O3" s="644" t="s">
        <v>168</v>
      </c>
      <c r="P3" s="640"/>
      <c r="Q3" s="640"/>
    </row>
    <row r="4" spans="1:17" ht="12.75" customHeight="1" x14ac:dyDescent="0.25">
      <c r="A4" s="645" t="s">
        <v>282</v>
      </c>
      <c r="B4" s="646">
        <f>'[2]FGP simpl'!$C$16</f>
        <v>3.6636711021849497</v>
      </c>
      <c r="C4" s="647">
        <f t="shared" ref="C4:C23" si="0">$C$29*B4/100</f>
        <v>26495.964336525285</v>
      </c>
      <c r="D4" s="647">
        <f t="shared" ref="D4:D23" si="1">$D$29*B4/100</f>
        <v>34355.640699795986</v>
      </c>
      <c r="E4" s="647">
        <f t="shared" ref="E4:E23" si="2">$E$29*B4/100</f>
        <v>27055.978446520865</v>
      </c>
      <c r="F4" s="647">
        <f t="shared" ref="F4:F23" si="3">$F$29*B4/100</f>
        <v>23926.746282284919</v>
      </c>
      <c r="G4" s="647">
        <f t="shared" ref="G4:G23" si="4">$G$29*B4/100</f>
        <v>25964.125689141052</v>
      </c>
      <c r="H4" s="647">
        <f t="shared" ref="H4:H23" si="5">$H$29*B4/100</f>
        <v>23113.490982446336</v>
      </c>
      <c r="I4" s="647">
        <f t="shared" ref="I4:I23" si="6">$I$29*B4/100</f>
        <v>24585.242619260553</v>
      </c>
      <c r="J4" s="647">
        <f t="shared" ref="J4:J23" si="7">$J$29*B4/100</f>
        <v>23957.707966769485</v>
      </c>
      <c r="K4" s="647">
        <f t="shared" ref="K4:K23" si="8">$K$29*B4/100</f>
        <v>23186.649914768088</v>
      </c>
      <c r="L4" s="647">
        <f t="shared" ref="L4:L23" si="9">$L$29*B4/100</f>
        <v>23839.516105177448</v>
      </c>
      <c r="M4" s="647">
        <f t="shared" ref="M4:M23" si="10">$M$29*B4/100</f>
        <v>22454.994645470691</v>
      </c>
      <c r="N4" s="647">
        <f t="shared" ref="N4:N23" si="11">$N$29*B4/100</f>
        <v>24315.086259938773</v>
      </c>
      <c r="O4" s="648">
        <f>SUM(C4:N4)</f>
        <v>303251.14394809952</v>
      </c>
      <c r="P4" s="649"/>
      <c r="Q4" s="649"/>
    </row>
    <row r="5" spans="1:17" ht="12.75" customHeight="1" x14ac:dyDescent="0.25">
      <c r="A5" s="645" t="s">
        <v>147</v>
      </c>
      <c r="B5" s="646">
        <v>2.8774681766767136</v>
      </c>
      <c r="C5" s="647">
        <f t="shared" si="0"/>
        <v>20810.081489914217</v>
      </c>
      <c r="D5" s="647">
        <f t="shared" si="1"/>
        <v>26983.116127439902</v>
      </c>
      <c r="E5" s="647">
        <f t="shared" si="2"/>
        <v>21249.91976552831</v>
      </c>
      <c r="F5" s="647">
        <f t="shared" si="3"/>
        <v>18792.202978491361</v>
      </c>
      <c r="G5" s="647">
        <f t="shared" si="4"/>
        <v>20392.372383312853</v>
      </c>
      <c r="H5" s="647">
        <f t="shared" si="5"/>
        <v>18153.467628201968</v>
      </c>
      <c r="I5" s="647">
        <f t="shared" si="6"/>
        <v>19309.389756795652</v>
      </c>
      <c r="J5" s="647">
        <f t="shared" si="7"/>
        <v>18816.520462052453</v>
      </c>
      <c r="K5" s="647">
        <f t="shared" si="8"/>
        <v>18210.927070854981</v>
      </c>
      <c r="L5" s="647">
        <f t="shared" si="9"/>
        <v>18723.691899938771</v>
      </c>
      <c r="M5" s="647">
        <f t="shared" si="10"/>
        <v>17636.280849897674</v>
      </c>
      <c r="N5" s="647">
        <f t="shared" si="11"/>
        <v>19097.20741154865</v>
      </c>
      <c r="O5" s="648">
        <f t="shared" ref="O5:O23" si="12">SUM(C5:N5)</f>
        <v>238175.17782397682</v>
      </c>
      <c r="P5" s="649"/>
      <c r="Q5" s="640"/>
    </row>
    <row r="6" spans="1:17" ht="12.75" customHeight="1" x14ac:dyDescent="0.25">
      <c r="A6" s="645" t="s">
        <v>148</v>
      </c>
      <c r="B6" s="646">
        <v>4.7152682285520395</v>
      </c>
      <c r="C6" s="647">
        <f t="shared" si="0"/>
        <v>34101.199407980748</v>
      </c>
      <c r="D6" s="647">
        <f t="shared" si="1"/>
        <v>44216.867875144613</v>
      </c>
      <c r="E6" s="647">
        <f t="shared" si="2"/>
        <v>34821.956448324301</v>
      </c>
      <c r="F6" s="647">
        <f t="shared" si="3"/>
        <v>30794.529151429349</v>
      </c>
      <c r="G6" s="647">
        <f t="shared" si="4"/>
        <v>33416.705137948877</v>
      </c>
      <c r="H6" s="647">
        <f t="shared" si="5"/>
        <v>29747.842161774763</v>
      </c>
      <c r="I6" s="647">
        <f t="shared" si="6"/>
        <v>31642.036138207539</v>
      </c>
      <c r="J6" s="647">
        <f t="shared" si="7"/>
        <v>30834.377883228841</v>
      </c>
      <c r="K6" s="647">
        <f t="shared" si="8"/>
        <v>29842.000174213663</v>
      </c>
      <c r="L6" s="647">
        <f t="shared" si="9"/>
        <v>30682.260972541637</v>
      </c>
      <c r="M6" s="647">
        <f t="shared" si="10"/>
        <v>28900.335174996566</v>
      </c>
      <c r="N6" s="647">
        <f t="shared" si="11"/>
        <v>31294.335795485295</v>
      </c>
      <c r="O6" s="648">
        <f t="shared" si="12"/>
        <v>390294.44632127619</v>
      </c>
      <c r="P6" s="649"/>
      <c r="Q6" s="640"/>
    </row>
    <row r="7" spans="1:17" ht="12.75" customHeight="1" x14ac:dyDescent="0.25">
      <c r="A7" s="645" t="s">
        <v>283</v>
      </c>
      <c r="B7" s="646">
        <v>9.1392838894846484</v>
      </c>
      <c r="C7" s="647">
        <f t="shared" si="0"/>
        <v>66096.036801106078</v>
      </c>
      <c r="D7" s="647">
        <f t="shared" si="1"/>
        <v>85702.549383680409</v>
      </c>
      <c r="E7" s="647">
        <f t="shared" si="2"/>
        <v>67493.031179317157</v>
      </c>
      <c r="F7" s="647">
        <f t="shared" si="3"/>
        <v>59686.94261203205</v>
      </c>
      <c r="G7" s="647">
        <f t="shared" si="4"/>
        <v>64769.328085647096</v>
      </c>
      <c r="H7" s="647">
        <f t="shared" si="5"/>
        <v>57658.220367991045</v>
      </c>
      <c r="I7" s="647">
        <f t="shared" si="6"/>
        <v>61329.607795655364</v>
      </c>
      <c r="J7" s="647">
        <f t="shared" si="7"/>
        <v>59764.178700182085</v>
      </c>
      <c r="K7" s="647">
        <f t="shared" si="8"/>
        <v>57840.720443159196</v>
      </c>
      <c r="L7" s="647">
        <f t="shared" si="9"/>
        <v>59469.340832265356</v>
      </c>
      <c r="M7" s="647">
        <f t="shared" si="10"/>
        <v>56015.555184367717</v>
      </c>
      <c r="N7" s="647">
        <f t="shared" si="11"/>
        <v>60655.683856107695</v>
      </c>
      <c r="O7" s="648">
        <f t="shared" si="12"/>
        <v>756481.1952415111</v>
      </c>
      <c r="P7" s="649"/>
      <c r="Q7" s="640"/>
    </row>
    <row r="8" spans="1:17" ht="12.75" customHeight="1" x14ac:dyDescent="0.25">
      <c r="A8" s="645" t="s">
        <v>150</v>
      </c>
      <c r="B8" s="646">
        <v>5.3963653133391265</v>
      </c>
      <c r="C8" s="647">
        <f t="shared" si="0"/>
        <v>39026.948353476284</v>
      </c>
      <c r="D8" s="647">
        <f t="shared" si="1"/>
        <v>50603.774907456704</v>
      </c>
      <c r="E8" s="647">
        <f t="shared" si="2"/>
        <v>39851.815169812056</v>
      </c>
      <c r="F8" s="647">
        <f t="shared" si="3"/>
        <v>35242.645995647603</v>
      </c>
      <c r="G8" s="647">
        <f t="shared" si="4"/>
        <v>38243.582284582757</v>
      </c>
      <c r="H8" s="647">
        <f t="shared" si="5"/>
        <v>34044.770267031876</v>
      </c>
      <c r="I8" s="647">
        <f t="shared" si="6"/>
        <v>36212.571158879895</v>
      </c>
      <c r="J8" s="647">
        <f t="shared" si="7"/>
        <v>35288.250678910626</v>
      </c>
      <c r="K8" s="647">
        <f t="shared" si="8"/>
        <v>34152.52893688262</v>
      </c>
      <c r="L8" s="647">
        <f t="shared" si="9"/>
        <v>35114.16123571965</v>
      </c>
      <c r="M8" s="647">
        <f t="shared" si="10"/>
        <v>33074.845103799576</v>
      </c>
      <c r="N8" s="647">
        <f t="shared" si="11"/>
        <v>35814.64722794827</v>
      </c>
      <c r="O8" s="648">
        <f t="shared" si="12"/>
        <v>446670.54132014792</v>
      </c>
      <c r="P8" s="649"/>
      <c r="Q8" s="640"/>
    </row>
    <row r="9" spans="1:17" ht="12.75" customHeight="1" x14ac:dyDescent="0.25">
      <c r="A9" s="645" t="s">
        <v>284</v>
      </c>
      <c r="B9" s="646">
        <v>3.6295907588400458</v>
      </c>
      <c r="C9" s="647">
        <f t="shared" si="0"/>
        <v>26249.492549987299</v>
      </c>
      <c r="D9" s="647">
        <f t="shared" si="1"/>
        <v>34036.056327119913</v>
      </c>
      <c r="E9" s="647">
        <f t="shared" si="2"/>
        <v>26804.297275020555</v>
      </c>
      <c r="F9" s="647">
        <f t="shared" si="3"/>
        <v>23704.173975523991</v>
      </c>
      <c r="G9" s="647">
        <f t="shared" si="4"/>
        <v>25722.601192684906</v>
      </c>
      <c r="H9" s="647">
        <f t="shared" si="5"/>
        <v>22898.483770660503</v>
      </c>
      <c r="I9" s="647">
        <f t="shared" si="6"/>
        <v>24356.544822347929</v>
      </c>
      <c r="J9" s="647">
        <f t="shared" si="7"/>
        <v>23734.847647026945</v>
      </c>
      <c r="K9" s="647">
        <f t="shared" si="8"/>
        <v>22970.962161126092</v>
      </c>
      <c r="L9" s="647">
        <f t="shared" si="9"/>
        <v>23617.755234351385</v>
      </c>
      <c r="M9" s="647">
        <f t="shared" si="10"/>
        <v>22246.112923836557</v>
      </c>
      <c r="N9" s="647">
        <f t="shared" si="11"/>
        <v>24088.901521984139</v>
      </c>
      <c r="O9" s="648">
        <f t="shared" si="12"/>
        <v>300430.22940167016</v>
      </c>
      <c r="P9" s="649"/>
      <c r="Q9" s="640"/>
    </row>
    <row r="10" spans="1:17" ht="12.75" customHeight="1" x14ac:dyDescent="0.25">
      <c r="A10" s="645" t="s">
        <v>152</v>
      </c>
      <c r="B10" s="646">
        <v>4.0700473326514279</v>
      </c>
      <c r="C10" s="647">
        <f t="shared" si="0"/>
        <v>29434.909948545406</v>
      </c>
      <c r="D10" s="647">
        <f t="shared" si="1"/>
        <v>38166.385543818011</v>
      </c>
      <c r="E10" s="647">
        <f t="shared" si="2"/>
        <v>30057.041103625172</v>
      </c>
      <c r="F10" s="647">
        <f t="shared" si="3"/>
        <v>26580.712943136106</v>
      </c>
      <c r="G10" s="647">
        <f t="shared" si="4"/>
        <v>28844.079492477395</v>
      </c>
      <c r="H10" s="647">
        <f t="shared" si="5"/>
        <v>25677.250958816974</v>
      </c>
      <c r="I10" s="647">
        <f t="shared" si="6"/>
        <v>27312.250023053039</v>
      </c>
      <c r="J10" s="647">
        <f t="shared" si="7"/>
        <v>26615.108913144344</v>
      </c>
      <c r="K10" s="647">
        <f t="shared" si="8"/>
        <v>25758.524716490858</v>
      </c>
      <c r="L10" s="647">
        <f t="shared" si="9"/>
        <v>26483.807151169338</v>
      </c>
      <c r="M10" s="647">
        <f t="shared" si="10"/>
        <v>24945.713878900035</v>
      </c>
      <c r="N10" s="647">
        <f t="shared" si="11"/>
        <v>27012.127785278823</v>
      </c>
      <c r="O10" s="648">
        <f t="shared" si="12"/>
        <v>336887.91245845548</v>
      </c>
      <c r="P10" s="649"/>
      <c r="Q10" s="640"/>
    </row>
    <row r="11" spans="1:17" ht="12.75" customHeight="1" x14ac:dyDescent="0.25">
      <c r="A11" s="645" t="s">
        <v>153</v>
      </c>
      <c r="B11" s="646">
        <v>3.2056447774490451</v>
      </c>
      <c r="C11" s="647">
        <f t="shared" si="0"/>
        <v>23183.481084916079</v>
      </c>
      <c r="D11" s="647">
        <f t="shared" si="1"/>
        <v>30060.553230211095</v>
      </c>
      <c r="E11" s="647">
        <f t="shared" si="2"/>
        <v>23673.483123017828</v>
      </c>
      <c r="F11" s="647">
        <f t="shared" si="3"/>
        <v>20935.462578890361</v>
      </c>
      <c r="G11" s="647">
        <f t="shared" si="4"/>
        <v>22718.132057975297</v>
      </c>
      <c r="H11" s="647">
        <f t="shared" si="5"/>
        <v>20223.879161070578</v>
      </c>
      <c r="I11" s="647">
        <f t="shared" si="6"/>
        <v>21511.634752843518</v>
      </c>
      <c r="J11" s="647">
        <f t="shared" si="7"/>
        <v>20962.553482904579</v>
      </c>
      <c r="K11" s="647">
        <f t="shared" si="8"/>
        <v>20287.891880220264</v>
      </c>
      <c r="L11" s="647">
        <f t="shared" si="9"/>
        <v>20859.137779561683</v>
      </c>
      <c r="M11" s="647">
        <f t="shared" si="10"/>
        <v>19647.706987117417</v>
      </c>
      <c r="N11" s="647">
        <f t="shared" si="11"/>
        <v>21275.252911188014</v>
      </c>
      <c r="O11" s="648">
        <f t="shared" si="12"/>
        <v>265339.16902991669</v>
      </c>
      <c r="P11" s="649"/>
      <c r="Q11" s="640"/>
    </row>
    <row r="12" spans="1:17" ht="12.75" customHeight="1" x14ac:dyDescent="0.25">
      <c r="A12" s="645" t="s">
        <v>154</v>
      </c>
      <c r="B12" s="646">
        <v>3.1677886526185874</v>
      </c>
      <c r="C12" s="647">
        <f t="shared" si="0"/>
        <v>22909.702542724161</v>
      </c>
      <c r="D12" s="647">
        <f t="shared" si="1"/>
        <v>29705.561915028306</v>
      </c>
      <c r="E12" s="647">
        <f t="shared" si="2"/>
        <v>23393.918045008832</v>
      </c>
      <c r="F12" s="647">
        <f t="shared" si="3"/>
        <v>20688.23135403814</v>
      </c>
      <c r="G12" s="647">
        <f t="shared" si="4"/>
        <v>22449.848919072458</v>
      </c>
      <c r="H12" s="647">
        <f t="shared" si="5"/>
        <v>19985.051172560008</v>
      </c>
      <c r="I12" s="647">
        <f t="shared" si="6"/>
        <v>21257.599391146679</v>
      </c>
      <c r="J12" s="647">
        <f t="shared" si="7"/>
        <v>20715.002335941419</v>
      </c>
      <c r="K12" s="647">
        <f t="shared" si="8"/>
        <v>20048.307952216986</v>
      </c>
      <c r="L12" s="647">
        <f t="shared" si="9"/>
        <v>20612.807890113614</v>
      </c>
      <c r="M12" s="647">
        <f t="shared" si="10"/>
        <v>19415.683135451465</v>
      </c>
      <c r="N12" s="647">
        <f t="shared" si="11"/>
        <v>21024.009031744077</v>
      </c>
      <c r="O12" s="648">
        <f t="shared" si="12"/>
        <v>262205.72368504619</v>
      </c>
      <c r="P12" s="649"/>
      <c r="Q12" s="640"/>
    </row>
    <row r="13" spans="1:17" ht="12.75" customHeight="1" x14ac:dyDescent="0.25">
      <c r="A13" s="645" t="s">
        <v>155</v>
      </c>
      <c r="B13" s="646">
        <v>2.8145431996763457</v>
      </c>
      <c r="C13" s="647">
        <f t="shared" si="0"/>
        <v>20355.002990786907</v>
      </c>
      <c r="D13" s="647">
        <f t="shared" si="1"/>
        <v>26393.044627959971</v>
      </c>
      <c r="E13" s="647">
        <f t="shared" si="2"/>
        <v>20785.222806116635</v>
      </c>
      <c r="F13" s="647">
        <f t="shared" si="3"/>
        <v>18381.251799328878</v>
      </c>
      <c r="G13" s="647">
        <f t="shared" si="4"/>
        <v>19946.428419934291</v>
      </c>
      <c r="H13" s="647">
        <f t="shared" si="5"/>
        <v>17756.484425315321</v>
      </c>
      <c r="I13" s="647">
        <f t="shared" si="6"/>
        <v>18887.128646773297</v>
      </c>
      <c r="J13" s="647">
        <f t="shared" si="7"/>
        <v>18405.037503909341</v>
      </c>
      <c r="K13" s="647">
        <f t="shared" si="8"/>
        <v>17812.687334833856</v>
      </c>
      <c r="L13" s="647">
        <f t="shared" si="9"/>
        <v>18314.238933016182</v>
      </c>
      <c r="M13" s="647">
        <f t="shared" si="10"/>
        <v>17250.607577870895</v>
      </c>
      <c r="N13" s="647">
        <f t="shared" si="11"/>
        <v>18679.586342136568</v>
      </c>
      <c r="O13" s="648">
        <f t="shared" si="12"/>
        <v>232966.72140798214</v>
      </c>
      <c r="P13" s="649"/>
      <c r="Q13" s="640"/>
    </row>
    <row r="14" spans="1:17" ht="12.75" customHeight="1" x14ac:dyDescent="0.25">
      <c r="A14" s="645" t="s">
        <v>156</v>
      </c>
      <c r="B14" s="646">
        <v>3.814501471077032</v>
      </c>
      <c r="C14" s="647">
        <f t="shared" si="0"/>
        <v>27586.781706197518</v>
      </c>
      <c r="D14" s="647">
        <f t="shared" si="1"/>
        <v>35770.034572975179</v>
      </c>
      <c r="E14" s="647">
        <f t="shared" si="2"/>
        <v>28169.851143060467</v>
      </c>
      <c r="F14" s="647">
        <f t="shared" si="3"/>
        <v>24911.791027702169</v>
      </c>
      <c r="G14" s="647">
        <f t="shared" si="4"/>
        <v>27033.047692897882</v>
      </c>
      <c r="H14" s="647">
        <f t="shared" si="5"/>
        <v>24065.054666530061</v>
      </c>
      <c r="I14" s="647">
        <f t="shared" si="6"/>
        <v>25597.397124983767</v>
      </c>
      <c r="J14" s="647">
        <f t="shared" si="7"/>
        <v>24944.027379634241</v>
      </c>
      <c r="K14" s="647">
        <f t="shared" si="8"/>
        <v>24141.225492780628</v>
      </c>
      <c r="L14" s="647">
        <f t="shared" si="9"/>
        <v>24820.969654926554</v>
      </c>
      <c r="M14" s="647">
        <f t="shared" si="10"/>
        <v>23379.44856924846</v>
      </c>
      <c r="N14" s="647">
        <f t="shared" si="11"/>
        <v>25316.118647382656</v>
      </c>
      <c r="O14" s="648">
        <f t="shared" si="12"/>
        <v>315735.74767831952</v>
      </c>
      <c r="P14" s="649"/>
      <c r="Q14" s="640"/>
    </row>
    <row r="15" spans="1:17" ht="12.75" customHeight="1" x14ac:dyDescent="0.25">
      <c r="A15" s="645" t="s">
        <v>157</v>
      </c>
      <c r="B15" s="646">
        <v>3.0792318274418586</v>
      </c>
      <c r="C15" s="647">
        <f t="shared" si="0"/>
        <v>22269.252454221631</v>
      </c>
      <c r="D15" s="647">
        <f t="shared" si="1"/>
        <v>28875.130803056523</v>
      </c>
      <c r="E15" s="647">
        <f t="shared" si="2"/>
        <v>22739.931514437081</v>
      </c>
      <c r="F15" s="647">
        <f t="shared" si="3"/>
        <v>20109.883399631264</v>
      </c>
      <c r="G15" s="647">
        <f t="shared" si="4"/>
        <v>21822.25422637512</v>
      </c>
      <c r="H15" s="647">
        <f t="shared" si="5"/>
        <v>19426.360907231414</v>
      </c>
      <c r="I15" s="647">
        <f t="shared" si="6"/>
        <v>20663.334520792218</v>
      </c>
      <c r="J15" s="647">
        <f t="shared" si="7"/>
        <v>20135.905987804974</v>
      </c>
      <c r="K15" s="647">
        <f t="shared" si="8"/>
        <v>19487.849317785647</v>
      </c>
      <c r="L15" s="647">
        <f t="shared" si="9"/>
        <v>20036.568429435785</v>
      </c>
      <c r="M15" s="647">
        <f t="shared" si="10"/>
        <v>18872.909786070457</v>
      </c>
      <c r="N15" s="647">
        <f t="shared" si="11"/>
        <v>20436.274275260534</v>
      </c>
      <c r="O15" s="648">
        <f t="shared" si="12"/>
        <v>254875.65562210264</v>
      </c>
      <c r="P15" s="649"/>
      <c r="Q15" s="640"/>
    </row>
    <row r="16" spans="1:17" ht="12.75" customHeight="1" x14ac:dyDescent="0.25">
      <c r="A16" s="645" t="s">
        <v>158</v>
      </c>
      <c r="B16" s="646">
        <v>3.9687689066587866</v>
      </c>
      <c r="C16" s="647">
        <f t="shared" si="0"/>
        <v>28702.456218853331</v>
      </c>
      <c r="D16" s="647">
        <f t="shared" si="1"/>
        <v>37216.659130885106</v>
      </c>
      <c r="E16" s="647">
        <f t="shared" si="2"/>
        <v>29309.106358849564</v>
      </c>
      <c r="F16" s="647">
        <f t="shared" si="3"/>
        <v>25919.282608641857</v>
      </c>
      <c r="G16" s="647">
        <f t="shared" si="4"/>
        <v>28126.327896133753</v>
      </c>
      <c r="H16" s="647">
        <f t="shared" si="5"/>
        <v>25038.302232087324</v>
      </c>
      <c r="I16" s="647">
        <f t="shared" si="6"/>
        <v>26632.616233425753</v>
      </c>
      <c r="J16" s="647">
        <f t="shared" si="7"/>
        <v>25952.822674672032</v>
      </c>
      <c r="K16" s="647">
        <f t="shared" si="8"/>
        <v>25117.553586192167</v>
      </c>
      <c r="L16" s="647">
        <f t="shared" si="9"/>
        <v>25824.788205358764</v>
      </c>
      <c r="M16" s="647">
        <f t="shared" si="10"/>
        <v>24324.968607303425</v>
      </c>
      <c r="N16" s="647">
        <f t="shared" si="11"/>
        <v>26339.962190825423</v>
      </c>
      <c r="O16" s="648">
        <f t="shared" si="12"/>
        <v>328504.84594322852</v>
      </c>
      <c r="P16" s="649"/>
      <c r="Q16" s="640"/>
    </row>
    <row r="17" spans="1:16" ht="12.75" customHeight="1" x14ac:dyDescent="0.25">
      <c r="A17" s="645" t="s">
        <v>285</v>
      </c>
      <c r="B17" s="646">
        <v>2.5568285677800717</v>
      </c>
      <c r="C17" s="647">
        <f t="shared" si="0"/>
        <v>18491.190026885186</v>
      </c>
      <c r="D17" s="647">
        <f t="shared" si="1"/>
        <v>23976.3562709652</v>
      </c>
      <c r="E17" s="647">
        <f t="shared" si="2"/>
        <v>18882.016614441774</v>
      </c>
      <c r="F17" s="647">
        <f t="shared" si="3"/>
        <v>16698.166053193767</v>
      </c>
      <c r="G17" s="647">
        <f t="shared" si="4"/>
        <v>18120.026729429108</v>
      </c>
      <c r="H17" s="647">
        <f t="shared" si="5"/>
        <v>16130.605722167937</v>
      </c>
      <c r="I17" s="647">
        <f t="shared" si="6"/>
        <v>17157.722110273706</v>
      </c>
      <c r="J17" s="647">
        <f t="shared" si="7"/>
        <v>16719.773811420073</v>
      </c>
      <c r="K17" s="647">
        <f t="shared" si="8"/>
        <v>16181.662392630797</v>
      </c>
      <c r="L17" s="647">
        <f t="shared" si="9"/>
        <v>16637.289243409203</v>
      </c>
      <c r="M17" s="647">
        <f t="shared" si="10"/>
        <v>15671.049665087994</v>
      </c>
      <c r="N17" s="647">
        <f t="shared" si="11"/>
        <v>16969.183489307034</v>
      </c>
      <c r="O17" s="648">
        <f t="shared" si="12"/>
        <v>211635.0421292118</v>
      </c>
      <c r="P17" s="649"/>
    </row>
    <row r="18" spans="1:16" ht="12.75" customHeight="1" x14ac:dyDescent="0.25">
      <c r="A18" s="645" t="s">
        <v>286</v>
      </c>
      <c r="B18" s="646">
        <v>3.0448340829893383</v>
      </c>
      <c r="C18" s="647">
        <f t="shared" si="0"/>
        <v>22020.485197322578</v>
      </c>
      <c r="D18" s="647">
        <f t="shared" si="1"/>
        <v>28552.570039185164</v>
      </c>
      <c r="E18" s="647">
        <f t="shared" si="2"/>
        <v>22485.906355911997</v>
      </c>
      <c r="F18" s="647">
        <f t="shared" si="3"/>
        <v>19885.238205987247</v>
      </c>
      <c r="G18" s="647">
        <f t="shared" si="4"/>
        <v>21578.480335248387</v>
      </c>
      <c r="H18" s="647">
        <f t="shared" si="5"/>
        <v>19209.351264704917</v>
      </c>
      <c r="I18" s="647">
        <f t="shared" si="6"/>
        <v>20432.506788352974</v>
      </c>
      <c r="J18" s="647">
        <f t="shared" si="7"/>
        <v>19910.970098822589</v>
      </c>
      <c r="K18" s="647">
        <f t="shared" si="8"/>
        <v>19270.152795299611</v>
      </c>
      <c r="L18" s="647">
        <f t="shared" si="9"/>
        <v>19812.74222888831</v>
      </c>
      <c r="M18" s="647">
        <f t="shared" si="10"/>
        <v>18662.082682339187</v>
      </c>
      <c r="N18" s="647">
        <f t="shared" si="11"/>
        <v>20207.983006698909</v>
      </c>
      <c r="O18" s="648">
        <f t="shared" si="12"/>
        <v>252028.46899876185</v>
      </c>
      <c r="P18" s="649"/>
    </row>
    <row r="19" spans="1:16" ht="12.75" customHeight="1" x14ac:dyDescent="0.25">
      <c r="A19" s="645" t="s">
        <v>287</v>
      </c>
      <c r="B19" s="646">
        <v>6.4580166897572191</v>
      </c>
      <c r="C19" s="647">
        <f t="shared" si="0"/>
        <v>46704.896570667734</v>
      </c>
      <c r="D19" s="647">
        <f t="shared" si="1"/>
        <v>60559.284618716418</v>
      </c>
      <c r="E19" s="647">
        <f t="shared" si="2"/>
        <v>47692.043169797267</v>
      </c>
      <c r="F19" s="647">
        <f t="shared" si="3"/>
        <v>42176.091279162552</v>
      </c>
      <c r="G19" s="647">
        <f t="shared" si="4"/>
        <v>45767.41534889079</v>
      </c>
      <c r="H19" s="647">
        <f t="shared" si="5"/>
        <v>40742.552035899454</v>
      </c>
      <c r="I19" s="647">
        <f t="shared" si="6"/>
        <v>43336.834210425259</v>
      </c>
      <c r="J19" s="647">
        <f t="shared" si="7"/>
        <v>42230.66797820769</v>
      </c>
      <c r="K19" s="647">
        <f t="shared" si="8"/>
        <v>40871.510556673042</v>
      </c>
      <c r="L19" s="647">
        <f t="shared" si="9"/>
        <v>42022.329130787773</v>
      </c>
      <c r="M19" s="647">
        <f t="shared" si="10"/>
        <v>39581.809104636734</v>
      </c>
      <c r="N19" s="647">
        <f t="shared" si="11"/>
        <v>42860.62490323509</v>
      </c>
      <c r="O19" s="648">
        <f t="shared" si="12"/>
        <v>534546.05890709977</v>
      </c>
      <c r="P19" s="649"/>
    </row>
    <row r="20" spans="1:16" ht="12.75" customHeight="1" x14ac:dyDescent="0.25">
      <c r="A20" s="645" t="s">
        <v>162</v>
      </c>
      <c r="B20" s="646">
        <v>3.6739352083662298</v>
      </c>
      <c r="C20" s="647">
        <f t="shared" si="0"/>
        <v>26570.195178688849</v>
      </c>
      <c r="D20" s="647">
        <f t="shared" si="1"/>
        <v>34451.891136648323</v>
      </c>
      <c r="E20" s="647">
        <f t="shared" si="2"/>
        <v>27131.778218898875</v>
      </c>
      <c r="F20" s="647">
        <f t="shared" si="3"/>
        <v>23993.779227536874</v>
      </c>
      <c r="G20" s="647">
        <f t="shared" si="4"/>
        <v>26036.866537198759</v>
      </c>
      <c r="H20" s="647">
        <f t="shared" si="5"/>
        <v>23178.24551937035</v>
      </c>
      <c r="I20" s="647">
        <f t="shared" si="6"/>
        <v>24654.120401599183</v>
      </c>
      <c r="J20" s="647">
        <f t="shared" si="7"/>
        <v>24024.827653982775</v>
      </c>
      <c r="K20" s="647">
        <f t="shared" si="8"/>
        <v>23251.609413062411</v>
      </c>
      <c r="L20" s="647">
        <f t="shared" si="9"/>
        <v>23906.304667193275</v>
      </c>
      <c r="M20" s="647">
        <f t="shared" si="10"/>
        <v>22517.904345308034</v>
      </c>
      <c r="N20" s="647">
        <f t="shared" si="11"/>
        <v>24383.207174785672</v>
      </c>
      <c r="O20" s="648">
        <f t="shared" si="12"/>
        <v>304100.72947427334</v>
      </c>
      <c r="P20" s="649"/>
    </row>
    <row r="21" spans="1:16" ht="12.75" customHeight="1" x14ac:dyDescent="0.25">
      <c r="A21" s="645" t="s">
        <v>163</v>
      </c>
      <c r="B21" s="646">
        <v>21.979340072457017</v>
      </c>
      <c r="C21" s="647">
        <f t="shared" si="0"/>
        <v>158956.35674088498</v>
      </c>
      <c r="D21" s="647">
        <f t="shared" si="1"/>
        <v>206108.65148283207</v>
      </c>
      <c r="E21" s="647">
        <f t="shared" si="2"/>
        <v>162316.03074700048</v>
      </c>
      <c r="F21" s="647">
        <f t="shared" si="3"/>
        <v>143542.93240244815</v>
      </c>
      <c r="G21" s="647">
        <f t="shared" si="4"/>
        <v>155765.71484959673</v>
      </c>
      <c r="H21" s="647">
        <f t="shared" si="5"/>
        <v>138663.99695700925</v>
      </c>
      <c r="I21" s="647">
        <f t="shared" si="6"/>
        <v>147493.42755421629</v>
      </c>
      <c r="J21" s="647">
        <f t="shared" si="7"/>
        <v>143728.67980540049</v>
      </c>
      <c r="K21" s="647">
        <f t="shared" si="8"/>
        <v>139102.89690408114</v>
      </c>
      <c r="L21" s="647">
        <f t="shared" si="9"/>
        <v>143019.61530499297</v>
      </c>
      <c r="M21" s="647">
        <f t="shared" si="10"/>
        <v>134713.50180524107</v>
      </c>
      <c r="N21" s="647">
        <f t="shared" si="11"/>
        <v>145872.68750177842</v>
      </c>
      <c r="O21" s="648">
        <f t="shared" si="12"/>
        <v>1819284.4920554818</v>
      </c>
      <c r="P21" s="649"/>
    </row>
    <row r="22" spans="1:16" ht="12.75" customHeight="1" x14ac:dyDescent="0.25">
      <c r="A22" s="645" t="s">
        <v>164</v>
      </c>
      <c r="B22" s="646">
        <v>3.7144952969630278</v>
      </c>
      <c r="C22" s="647">
        <f t="shared" si="0"/>
        <v>26863.529004508026</v>
      </c>
      <c r="D22" s="647">
        <f t="shared" si="1"/>
        <v>34832.23855095428</v>
      </c>
      <c r="E22" s="647">
        <f t="shared" si="2"/>
        <v>27431.311897620606</v>
      </c>
      <c r="F22" s="647">
        <f t="shared" si="3"/>
        <v>24258.669530725885</v>
      </c>
      <c r="G22" s="647">
        <f t="shared" si="4"/>
        <v>26324.312437476736</v>
      </c>
      <c r="H22" s="647">
        <f t="shared" si="5"/>
        <v>23434.132365072797</v>
      </c>
      <c r="I22" s="647">
        <f t="shared" si="6"/>
        <v>24926.300843292298</v>
      </c>
      <c r="J22" s="647">
        <f t="shared" si="7"/>
        <v>24290.06073048052</v>
      </c>
      <c r="K22" s="647">
        <f t="shared" si="8"/>
        <v>23508.30619303403</v>
      </c>
      <c r="L22" s="647">
        <f t="shared" si="9"/>
        <v>24170.229254952843</v>
      </c>
      <c r="M22" s="647">
        <f t="shared" si="10"/>
        <v>22766.501052506381</v>
      </c>
      <c r="N22" s="647">
        <f t="shared" si="11"/>
        <v>24652.396745965721</v>
      </c>
      <c r="O22" s="648">
        <f t="shared" si="12"/>
        <v>307457.98860659008</v>
      </c>
      <c r="P22" s="649"/>
    </row>
    <row r="23" spans="1:16" ht="12.75" customHeight="1" thickBot="1" x14ac:dyDescent="0.3">
      <c r="A23" s="645" t="s">
        <v>165</v>
      </c>
      <c r="B23" s="646">
        <v>5.0303764450364916</v>
      </c>
      <c r="C23" s="647">
        <f t="shared" si="0"/>
        <v>36380.087395807735</v>
      </c>
      <c r="D23" s="647">
        <f t="shared" si="1"/>
        <v>47171.757756126848</v>
      </c>
      <c r="E23" s="647">
        <f t="shared" si="2"/>
        <v>37149.010617690234</v>
      </c>
      <c r="F23" s="647">
        <f t="shared" si="3"/>
        <v>32852.441594167554</v>
      </c>
      <c r="G23" s="647">
        <f t="shared" si="4"/>
        <v>35649.850283975786</v>
      </c>
      <c r="H23" s="647">
        <f t="shared" si="5"/>
        <v>31735.807434057129</v>
      </c>
      <c r="I23" s="647">
        <f t="shared" si="6"/>
        <v>33756.585107674953</v>
      </c>
      <c r="J23" s="647">
        <f t="shared" si="7"/>
        <v>32894.953305504554</v>
      </c>
      <c r="K23" s="647">
        <f t="shared" si="8"/>
        <v>31836.257763693946</v>
      </c>
      <c r="L23" s="647">
        <f t="shared" si="9"/>
        <v>32732.670846199449</v>
      </c>
      <c r="M23" s="647">
        <f t="shared" si="10"/>
        <v>30831.663920549719</v>
      </c>
      <c r="N23" s="647">
        <f t="shared" si="11"/>
        <v>33385.648921400309</v>
      </c>
      <c r="O23" s="648">
        <f t="shared" si="12"/>
        <v>416376.73494684818</v>
      </c>
      <c r="P23" s="649"/>
    </row>
    <row r="24" spans="1:16" ht="15.75" thickBot="1" x14ac:dyDescent="0.3">
      <c r="A24" s="650" t="s">
        <v>288</v>
      </c>
      <c r="B24" s="655">
        <f>SUM(B4:B23)</f>
        <v>100</v>
      </c>
      <c r="C24" s="652">
        <f>SUM(C4:C23)</f>
        <v>723208.05000000016</v>
      </c>
      <c r="D24" s="652">
        <f t="shared" ref="D24:N24" si="13">SUM(D4:D23)</f>
        <v>937738.125</v>
      </c>
      <c r="E24" s="652">
        <f t="shared" si="13"/>
        <v>738493.65</v>
      </c>
      <c r="F24" s="652">
        <f t="shared" si="13"/>
        <v>653081.17500000005</v>
      </c>
      <c r="G24" s="652">
        <f t="shared" si="13"/>
        <v>708691.50000000012</v>
      </c>
      <c r="H24" s="652">
        <f t="shared" si="13"/>
        <v>630883.35</v>
      </c>
      <c r="I24" s="652">
        <f t="shared" si="13"/>
        <v>671054.84999999986</v>
      </c>
      <c r="J24" s="652">
        <f t="shared" si="13"/>
        <v>653926.27500000002</v>
      </c>
      <c r="K24" s="652">
        <f t="shared" si="13"/>
        <v>632880.22499999998</v>
      </c>
      <c r="L24" s="652">
        <f t="shared" si="13"/>
        <v>650700.22500000009</v>
      </c>
      <c r="M24" s="652">
        <f t="shared" si="13"/>
        <v>612909.67500000005</v>
      </c>
      <c r="N24" s="652">
        <f t="shared" si="13"/>
        <v>663680.92500000016</v>
      </c>
      <c r="O24" s="652">
        <f>SUM(C24:N24)</f>
        <v>8277248.0249999985</v>
      </c>
      <c r="P24" s="640"/>
    </row>
    <row r="25" spans="1:16" x14ac:dyDescent="0.25">
      <c r="A25" s="653"/>
      <c r="B25" s="653"/>
      <c r="C25" s="653"/>
      <c r="D25" s="653"/>
      <c r="E25" s="653"/>
      <c r="F25" s="653"/>
      <c r="G25" s="653"/>
      <c r="H25" s="653"/>
      <c r="I25" s="653"/>
      <c r="J25" s="653"/>
      <c r="K25" s="653"/>
      <c r="L25" s="653"/>
      <c r="M25" s="653"/>
      <c r="N25" s="653"/>
      <c r="O25" s="653"/>
      <c r="P25" s="640"/>
    </row>
    <row r="26" spans="1:16" x14ac:dyDescent="0.25">
      <c r="A26" s="654" t="s">
        <v>289</v>
      </c>
      <c r="B26" s="640"/>
      <c r="C26" s="640"/>
      <c r="D26" s="640"/>
      <c r="E26" s="640"/>
      <c r="F26" s="640"/>
      <c r="G26" s="640"/>
      <c r="H26" s="640"/>
      <c r="I26" s="640"/>
      <c r="J26" s="640"/>
      <c r="K26" s="640"/>
      <c r="L26" s="640"/>
      <c r="M26" s="640"/>
      <c r="N26" s="640"/>
      <c r="O26" s="649"/>
      <c r="P26" s="640"/>
    </row>
    <row r="29" spans="1:16" hidden="1" x14ac:dyDescent="0.25">
      <c r="A29" s="640" t="s">
        <v>347</v>
      </c>
      <c r="B29" s="640"/>
      <c r="C29" s="649">
        <v>723208.05</v>
      </c>
      <c r="D29" s="649">
        <v>937738.125</v>
      </c>
      <c r="E29" s="649">
        <v>738493.65</v>
      </c>
      <c r="F29" s="649">
        <v>653081.17500000005</v>
      </c>
      <c r="G29" s="649">
        <v>708691.5</v>
      </c>
      <c r="H29" s="649">
        <v>630883.35</v>
      </c>
      <c r="I29" s="649">
        <v>671054.84999999986</v>
      </c>
      <c r="J29" s="649">
        <v>653926.27500000002</v>
      </c>
      <c r="K29" s="649">
        <v>632880.22499999998</v>
      </c>
      <c r="L29" s="649">
        <v>650700.22499999998</v>
      </c>
      <c r="M29" s="649">
        <v>612909.67500000005</v>
      </c>
      <c r="N29" s="649">
        <v>663680.92500000005</v>
      </c>
      <c r="O29" s="649">
        <f>SUM(C29:N29)</f>
        <v>8277248.0249999985</v>
      </c>
      <c r="P29" s="640"/>
    </row>
    <row r="30" spans="1:16" x14ac:dyDescent="0.25">
      <c r="A30" s="640"/>
      <c r="B30" s="640"/>
      <c r="C30" s="640"/>
      <c r="D30" s="640"/>
      <c r="E30" s="640"/>
      <c r="F30" s="640"/>
      <c r="G30" s="640"/>
      <c r="H30" s="640"/>
      <c r="I30" s="640"/>
      <c r="J30" s="640"/>
      <c r="K30" s="640"/>
      <c r="L30" s="640"/>
      <c r="M30" s="640"/>
      <c r="N30" s="640"/>
      <c r="O30" s="640"/>
      <c r="P30" s="640"/>
    </row>
  </sheetData>
  <mergeCells count="1">
    <mergeCell ref="A1:O1"/>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pageSetUpPr fitToPage="1"/>
  </sheetPr>
  <dimension ref="A1:Q29"/>
  <sheetViews>
    <sheetView zoomScaleNormal="100" workbookViewId="0">
      <selection activeCell="Q7" sqref="Q7"/>
    </sheetView>
  </sheetViews>
  <sheetFormatPr baseColWidth="10" defaultRowHeight="15" x14ac:dyDescent="0.25"/>
  <cols>
    <col min="1" max="1" width="3.7109375" customWidth="1"/>
    <col min="2" max="2" width="18.5703125" customWidth="1"/>
    <col min="3" max="14" width="13.28515625" customWidth="1"/>
    <col min="15" max="15" width="14.28515625" customWidth="1"/>
  </cols>
  <sheetData>
    <row r="1" spans="1:17" x14ac:dyDescent="0.25">
      <c r="A1" s="1245" t="s">
        <v>486</v>
      </c>
      <c r="B1" s="1245"/>
      <c r="C1" s="1245"/>
      <c r="D1" s="1245"/>
      <c r="E1" s="1245"/>
      <c r="F1" s="1245"/>
      <c r="G1" s="1245"/>
      <c r="H1" s="1245"/>
      <c r="I1" s="1245"/>
      <c r="J1" s="1245"/>
      <c r="K1" s="1245"/>
      <c r="L1" s="1245"/>
      <c r="M1" s="1245"/>
      <c r="N1" s="1245"/>
      <c r="O1" s="1245"/>
    </row>
    <row r="2" spans="1:17" x14ac:dyDescent="0.25">
      <c r="A2" s="1245"/>
      <c r="B2" s="1245"/>
      <c r="C2" s="1245"/>
      <c r="D2" s="1245"/>
      <c r="E2" s="1245"/>
      <c r="F2" s="1245"/>
      <c r="G2" s="1245"/>
      <c r="H2" s="1245"/>
      <c r="I2" s="1245"/>
      <c r="J2" s="1245"/>
      <c r="K2" s="1245"/>
      <c r="L2" s="1245"/>
      <c r="M2" s="1245"/>
      <c r="N2" s="1245"/>
      <c r="O2" s="1245"/>
    </row>
    <row r="4" spans="1:17" x14ac:dyDescent="0.25">
      <c r="A4" s="891" t="s">
        <v>487</v>
      </c>
      <c r="B4" s="1246" t="s">
        <v>348</v>
      </c>
      <c r="C4" s="1243" t="s">
        <v>1</v>
      </c>
      <c r="D4" s="1243" t="s">
        <v>2</v>
      </c>
      <c r="E4" s="1243" t="s">
        <v>3</v>
      </c>
      <c r="F4" s="1243" t="s">
        <v>4</v>
      </c>
      <c r="G4" s="1243" t="s">
        <v>5</v>
      </c>
      <c r="H4" s="1243" t="s">
        <v>6</v>
      </c>
      <c r="I4" s="1243" t="s">
        <v>7</v>
      </c>
      <c r="J4" s="1243" t="s">
        <v>8</v>
      </c>
      <c r="K4" s="1243" t="s">
        <v>9</v>
      </c>
      <c r="L4" s="1243" t="s">
        <v>10</v>
      </c>
      <c r="M4" s="1243" t="s">
        <v>11</v>
      </c>
      <c r="N4" s="1243" t="s">
        <v>12</v>
      </c>
      <c r="O4" s="1243" t="s">
        <v>168</v>
      </c>
      <c r="Q4" s="1244" t="s">
        <v>488</v>
      </c>
    </row>
    <row r="5" spans="1:17" x14ac:dyDescent="0.25">
      <c r="A5" s="892" t="s">
        <v>489</v>
      </c>
      <c r="B5" s="1247"/>
      <c r="C5" s="1243"/>
      <c r="D5" s="1243"/>
      <c r="E5" s="1243"/>
      <c r="F5" s="1243"/>
      <c r="G5" s="1243"/>
      <c r="H5" s="1243"/>
      <c r="I5" s="1243"/>
      <c r="J5" s="1243"/>
      <c r="K5" s="1243"/>
      <c r="L5" s="1243"/>
      <c r="M5" s="1243"/>
      <c r="N5" s="1243"/>
      <c r="O5" s="1243"/>
      <c r="Q5" s="1244"/>
    </row>
    <row r="6" spans="1:17" x14ac:dyDescent="0.25">
      <c r="A6" s="893" t="s">
        <v>490</v>
      </c>
      <c r="B6" s="1248"/>
      <c r="C6" s="1243"/>
      <c r="D6" s="1243"/>
      <c r="E6" s="1243"/>
      <c r="F6" s="1243"/>
      <c r="G6" s="1243"/>
      <c r="H6" s="1243"/>
      <c r="I6" s="1243"/>
      <c r="J6" s="1243"/>
      <c r="K6" s="1243"/>
      <c r="L6" s="1243"/>
      <c r="M6" s="1243"/>
      <c r="N6" s="1243"/>
      <c r="O6" s="1243"/>
      <c r="Q6" s="1244"/>
    </row>
    <row r="7" spans="1:17" ht="24.95" customHeight="1" x14ac:dyDescent="0.25">
      <c r="A7" s="894">
        <v>1</v>
      </c>
      <c r="B7" s="895" t="s">
        <v>282</v>
      </c>
      <c r="C7" s="896">
        <v>428863</v>
      </c>
      <c r="D7" s="896">
        <v>209155</v>
      </c>
      <c r="E7" s="896">
        <v>2356833</v>
      </c>
      <c r="F7" s="896">
        <v>481621</v>
      </c>
      <c r="G7" s="896">
        <v>33673</v>
      </c>
      <c r="H7" s="897">
        <v>1654595</v>
      </c>
      <c r="I7" s="896">
        <v>423942</v>
      </c>
      <c r="J7" s="896">
        <v>2014395</v>
      </c>
      <c r="K7" s="896">
        <v>425716</v>
      </c>
      <c r="L7" s="896">
        <v>162499</v>
      </c>
      <c r="M7" s="896">
        <v>843967</v>
      </c>
      <c r="N7" s="896">
        <v>182884</v>
      </c>
      <c r="O7" s="896">
        <f>SUM(C7:N7)</f>
        <v>9218143</v>
      </c>
      <c r="Q7" s="78">
        <f>O7/$O$27*100</f>
        <v>4.5425308276994523</v>
      </c>
    </row>
    <row r="8" spans="1:17" ht="24.95" customHeight="1" x14ac:dyDescent="0.25">
      <c r="A8" s="894">
        <v>2</v>
      </c>
      <c r="B8" s="895" t="s">
        <v>147</v>
      </c>
      <c r="C8" s="896">
        <v>12062</v>
      </c>
      <c r="D8" s="896">
        <v>5023</v>
      </c>
      <c r="E8" s="896">
        <v>3940</v>
      </c>
      <c r="F8" s="896">
        <v>3996</v>
      </c>
      <c r="G8" s="896">
        <v>6206</v>
      </c>
      <c r="H8" s="897">
        <v>0</v>
      </c>
      <c r="I8" s="896">
        <v>0</v>
      </c>
      <c r="J8" s="896">
        <v>0</v>
      </c>
      <c r="K8" s="896">
        <v>0</v>
      </c>
      <c r="L8" s="896">
        <v>0</v>
      </c>
      <c r="M8" s="896">
        <v>113990</v>
      </c>
      <c r="N8" s="896">
        <v>0</v>
      </c>
      <c r="O8" s="896">
        <f t="shared" ref="O8:O26" si="0">SUM(C8:N8)</f>
        <v>145217</v>
      </c>
      <c r="Q8" s="78">
        <f t="shared" ref="Q8:Q26" si="1">O8/$O$27*100</f>
        <v>7.1560258851053993E-2</v>
      </c>
    </row>
    <row r="9" spans="1:17" ht="24.95" customHeight="1" x14ac:dyDescent="0.25">
      <c r="A9" s="894">
        <v>3</v>
      </c>
      <c r="B9" s="895" t="s">
        <v>148</v>
      </c>
      <c r="C9" s="896">
        <v>461300</v>
      </c>
      <c r="D9" s="896">
        <v>864638</v>
      </c>
      <c r="E9" s="896">
        <v>25418</v>
      </c>
      <c r="F9" s="896">
        <v>363880</v>
      </c>
      <c r="G9" s="896">
        <v>345841</v>
      </c>
      <c r="H9" s="897">
        <v>971</v>
      </c>
      <c r="I9" s="896">
        <v>243933</v>
      </c>
      <c r="J9" s="896">
        <v>236475</v>
      </c>
      <c r="K9" s="896">
        <v>174296</v>
      </c>
      <c r="L9" s="896">
        <v>24906</v>
      </c>
      <c r="M9" s="896">
        <v>603373</v>
      </c>
      <c r="N9" s="896">
        <v>37755</v>
      </c>
      <c r="O9" s="896">
        <f t="shared" si="0"/>
        <v>3382786</v>
      </c>
      <c r="Q9" s="78">
        <f t="shared" si="1"/>
        <v>1.6669745401552263</v>
      </c>
    </row>
    <row r="10" spans="1:17" ht="24.95" customHeight="1" x14ac:dyDescent="0.25">
      <c r="A10" s="894">
        <v>4</v>
      </c>
      <c r="B10" s="895" t="s">
        <v>491</v>
      </c>
      <c r="C10" s="896">
        <v>2770927</v>
      </c>
      <c r="D10" s="896">
        <v>6344825</v>
      </c>
      <c r="E10" s="896">
        <v>2488780</v>
      </c>
      <c r="F10" s="896">
        <v>2440195</v>
      </c>
      <c r="G10" s="896">
        <v>353614</v>
      </c>
      <c r="H10" s="897">
        <v>2250652</v>
      </c>
      <c r="I10" s="896">
        <v>2052417</v>
      </c>
      <c r="J10" s="896">
        <v>2047002</v>
      </c>
      <c r="K10" s="896">
        <v>4178069</v>
      </c>
      <c r="L10" s="896">
        <v>-72933</v>
      </c>
      <c r="M10" s="896">
        <v>6137073</v>
      </c>
      <c r="N10" s="896">
        <v>405787</v>
      </c>
      <c r="O10" s="896">
        <f t="shared" si="0"/>
        <v>31396408</v>
      </c>
      <c r="Q10" s="78">
        <f t="shared" si="1"/>
        <v>15.471570707791113</v>
      </c>
    </row>
    <row r="11" spans="1:17" ht="24.95" customHeight="1" x14ac:dyDescent="0.25">
      <c r="A11" s="894">
        <v>5</v>
      </c>
      <c r="B11" s="895" t="s">
        <v>150</v>
      </c>
      <c r="C11" s="896">
        <v>811067</v>
      </c>
      <c r="D11" s="896">
        <v>2500713</v>
      </c>
      <c r="E11" s="896">
        <v>863142</v>
      </c>
      <c r="F11" s="896">
        <v>1302127</v>
      </c>
      <c r="G11" s="896">
        <v>1913603</v>
      </c>
      <c r="H11" s="897">
        <v>1008981</v>
      </c>
      <c r="I11" s="896">
        <v>939401</v>
      </c>
      <c r="J11" s="896">
        <v>1831740</v>
      </c>
      <c r="K11" s="896">
        <v>689862</v>
      </c>
      <c r="L11" s="896">
        <v>403179</v>
      </c>
      <c r="M11" s="896">
        <v>495817</v>
      </c>
      <c r="N11" s="896">
        <v>2923975</v>
      </c>
      <c r="O11" s="896">
        <f t="shared" si="0"/>
        <v>15683607</v>
      </c>
      <c r="Q11" s="78">
        <f t="shared" si="1"/>
        <v>7.7285922215594747</v>
      </c>
    </row>
    <row r="12" spans="1:17" ht="24.95" customHeight="1" x14ac:dyDescent="0.25">
      <c r="A12" s="894">
        <v>6</v>
      </c>
      <c r="B12" s="895" t="s">
        <v>284</v>
      </c>
      <c r="C12" s="896">
        <v>325606</v>
      </c>
      <c r="D12" s="896">
        <v>1019349</v>
      </c>
      <c r="E12" s="896">
        <v>148252</v>
      </c>
      <c r="F12" s="896">
        <v>310145</v>
      </c>
      <c r="G12" s="896">
        <v>442285</v>
      </c>
      <c r="H12" s="897">
        <v>263097</v>
      </c>
      <c r="I12" s="896">
        <v>445094</v>
      </c>
      <c r="J12" s="896">
        <v>311696</v>
      </c>
      <c r="K12" s="896">
        <v>14115</v>
      </c>
      <c r="L12" s="896">
        <v>302569</v>
      </c>
      <c r="M12" s="896">
        <v>0</v>
      </c>
      <c r="N12" s="896">
        <v>398918</v>
      </c>
      <c r="O12" s="896">
        <f t="shared" si="0"/>
        <v>3981126</v>
      </c>
      <c r="Q12" s="78">
        <f t="shared" si="1"/>
        <v>1.9618254548617666</v>
      </c>
    </row>
    <row r="13" spans="1:17" ht="24.95" customHeight="1" x14ac:dyDescent="0.25">
      <c r="A13" s="894">
        <v>7</v>
      </c>
      <c r="B13" s="895" t="s">
        <v>152</v>
      </c>
      <c r="C13" s="896">
        <v>247271</v>
      </c>
      <c r="D13" s="896">
        <v>0</v>
      </c>
      <c r="E13" s="896">
        <v>0</v>
      </c>
      <c r="F13" s="896">
        <v>345191</v>
      </c>
      <c r="G13" s="896">
        <v>0</v>
      </c>
      <c r="H13" s="897">
        <v>-10745</v>
      </c>
      <c r="I13" s="896">
        <v>716963</v>
      </c>
      <c r="J13" s="896">
        <v>815840</v>
      </c>
      <c r="K13" s="896">
        <v>0</v>
      </c>
      <c r="L13" s="896">
        <v>-177</v>
      </c>
      <c r="M13" s="896">
        <v>0</v>
      </c>
      <c r="N13" s="896">
        <v>0</v>
      </c>
      <c r="O13" s="896">
        <f t="shared" si="0"/>
        <v>2114343</v>
      </c>
      <c r="Q13" s="78">
        <f t="shared" si="1"/>
        <v>1.0419092281200826</v>
      </c>
    </row>
    <row r="14" spans="1:17" ht="24.95" customHeight="1" x14ac:dyDescent="0.25">
      <c r="A14" s="894">
        <v>8</v>
      </c>
      <c r="B14" s="895" t="s">
        <v>153</v>
      </c>
      <c r="C14" s="896">
        <v>13106</v>
      </c>
      <c r="D14" s="896">
        <v>91081</v>
      </c>
      <c r="E14" s="896">
        <v>1190357</v>
      </c>
      <c r="F14" s="896">
        <v>710497</v>
      </c>
      <c r="G14" s="896">
        <v>605878</v>
      </c>
      <c r="H14" s="897">
        <v>490323</v>
      </c>
      <c r="I14" s="896">
        <v>352673</v>
      </c>
      <c r="J14" s="896">
        <v>905309</v>
      </c>
      <c r="K14" s="896">
        <v>1107679</v>
      </c>
      <c r="L14" s="896">
        <v>-3202</v>
      </c>
      <c r="M14" s="896">
        <v>169224</v>
      </c>
      <c r="N14" s="896">
        <v>1418653</v>
      </c>
      <c r="O14" s="896">
        <f t="shared" si="0"/>
        <v>7051578</v>
      </c>
      <c r="Q14" s="78">
        <f t="shared" si="1"/>
        <v>3.4748875612937713</v>
      </c>
    </row>
    <row r="15" spans="1:17" ht="24.95" customHeight="1" x14ac:dyDescent="0.25">
      <c r="A15" s="894">
        <v>9</v>
      </c>
      <c r="B15" s="895" t="s">
        <v>154</v>
      </c>
      <c r="C15" s="896">
        <v>8998</v>
      </c>
      <c r="D15" s="896">
        <v>16765</v>
      </c>
      <c r="E15" s="896">
        <v>9681</v>
      </c>
      <c r="F15" s="896">
        <v>5100</v>
      </c>
      <c r="G15" s="896">
        <v>1768148</v>
      </c>
      <c r="H15" s="897">
        <v>181558</v>
      </c>
      <c r="I15" s="896">
        <v>724698</v>
      </c>
      <c r="J15" s="896">
        <v>5212</v>
      </c>
      <c r="K15" s="896">
        <v>10020</v>
      </c>
      <c r="L15" s="896">
        <v>-19775</v>
      </c>
      <c r="M15" s="896">
        <v>0</v>
      </c>
      <c r="N15" s="896">
        <v>267785</v>
      </c>
      <c r="O15" s="896">
        <f t="shared" si="0"/>
        <v>2978190</v>
      </c>
      <c r="Q15" s="78">
        <f t="shared" si="1"/>
        <v>1.4675970947452466</v>
      </c>
    </row>
    <row r="16" spans="1:17" ht="24.95" customHeight="1" x14ac:dyDescent="0.25">
      <c r="A16" s="894">
        <v>10</v>
      </c>
      <c r="B16" s="895" t="s">
        <v>155</v>
      </c>
      <c r="C16" s="896">
        <v>1</v>
      </c>
      <c r="D16" s="896">
        <v>0</v>
      </c>
      <c r="E16" s="896">
        <v>540044</v>
      </c>
      <c r="F16" s="896">
        <v>0</v>
      </c>
      <c r="G16" s="896">
        <v>0</v>
      </c>
      <c r="H16" s="897">
        <v>-21222</v>
      </c>
      <c r="I16" s="896">
        <v>1344627</v>
      </c>
      <c r="J16" s="896">
        <v>304814</v>
      </c>
      <c r="K16" s="896">
        <v>253623</v>
      </c>
      <c r="L16" s="896">
        <v>-4604</v>
      </c>
      <c r="M16" s="896">
        <v>522478</v>
      </c>
      <c r="N16" s="896">
        <v>275742</v>
      </c>
      <c r="O16" s="896">
        <f t="shared" si="0"/>
        <v>3215503</v>
      </c>
      <c r="Q16" s="78">
        <f t="shared" si="1"/>
        <v>1.5845405635451817</v>
      </c>
    </row>
    <row r="17" spans="1:17" ht="24.95" customHeight="1" x14ac:dyDescent="0.25">
      <c r="A17" s="894">
        <v>11</v>
      </c>
      <c r="B17" s="895" t="s">
        <v>156</v>
      </c>
      <c r="C17" s="896">
        <v>10505</v>
      </c>
      <c r="D17" s="896">
        <v>6339</v>
      </c>
      <c r="E17" s="896">
        <v>54042</v>
      </c>
      <c r="F17" s="896">
        <v>13869</v>
      </c>
      <c r="G17" s="896">
        <v>17187</v>
      </c>
      <c r="H17" s="897">
        <v>16756</v>
      </c>
      <c r="I17" s="896">
        <v>8390</v>
      </c>
      <c r="J17" s="896">
        <v>26595</v>
      </c>
      <c r="K17" s="896">
        <v>33207</v>
      </c>
      <c r="L17" s="896">
        <v>45458</v>
      </c>
      <c r="M17" s="896">
        <v>0</v>
      </c>
      <c r="N17" s="896">
        <v>17142</v>
      </c>
      <c r="O17" s="896">
        <f t="shared" si="0"/>
        <v>249490</v>
      </c>
      <c r="Q17" s="78">
        <f t="shared" si="1"/>
        <v>0.12294406977660646</v>
      </c>
    </row>
    <row r="18" spans="1:17" ht="24.95" customHeight="1" x14ac:dyDescent="0.25">
      <c r="A18" s="894">
        <v>12</v>
      </c>
      <c r="B18" s="895" t="s">
        <v>157</v>
      </c>
      <c r="C18" s="896">
        <v>0</v>
      </c>
      <c r="D18" s="896">
        <v>464955</v>
      </c>
      <c r="E18" s="896">
        <v>1376485</v>
      </c>
      <c r="F18" s="896">
        <v>494983</v>
      </c>
      <c r="G18" s="896">
        <v>515510</v>
      </c>
      <c r="H18" s="897">
        <v>161353</v>
      </c>
      <c r="I18" s="896">
        <v>3992</v>
      </c>
      <c r="J18" s="896">
        <v>1290712</v>
      </c>
      <c r="K18" s="896">
        <v>598584</v>
      </c>
      <c r="L18" s="896">
        <v>-57894</v>
      </c>
      <c r="M18" s="896">
        <v>492766</v>
      </c>
      <c r="N18" s="896">
        <v>49191</v>
      </c>
      <c r="O18" s="896">
        <f t="shared" si="0"/>
        <v>5390637</v>
      </c>
      <c r="Q18" s="78">
        <f t="shared" si="1"/>
        <v>2.6564064750825946</v>
      </c>
    </row>
    <row r="19" spans="1:17" ht="24.95" customHeight="1" x14ac:dyDescent="0.25">
      <c r="A19" s="894">
        <v>13</v>
      </c>
      <c r="B19" s="898" t="s">
        <v>158</v>
      </c>
      <c r="C19" s="896">
        <v>486551</v>
      </c>
      <c r="D19" s="896">
        <v>-75875</v>
      </c>
      <c r="E19" s="896">
        <v>2357414</v>
      </c>
      <c r="F19" s="896">
        <v>1595627</v>
      </c>
      <c r="G19" s="896">
        <v>1320654</v>
      </c>
      <c r="H19" s="897">
        <v>332839</v>
      </c>
      <c r="I19" s="896">
        <v>122961</v>
      </c>
      <c r="J19" s="896">
        <v>2055582</v>
      </c>
      <c r="K19" s="896">
        <v>598255</v>
      </c>
      <c r="L19" s="896">
        <v>1814</v>
      </c>
      <c r="M19" s="896">
        <v>775518</v>
      </c>
      <c r="N19" s="896">
        <v>252283</v>
      </c>
      <c r="O19" s="896">
        <f t="shared" si="0"/>
        <v>9823623</v>
      </c>
      <c r="Q19" s="78">
        <f t="shared" si="1"/>
        <v>4.8409002026978074</v>
      </c>
    </row>
    <row r="20" spans="1:17" ht="24.95" customHeight="1" x14ac:dyDescent="0.25">
      <c r="A20" s="894">
        <v>14</v>
      </c>
      <c r="B20" s="895" t="s">
        <v>492</v>
      </c>
      <c r="C20" s="896">
        <v>574188</v>
      </c>
      <c r="D20" s="896">
        <v>554801</v>
      </c>
      <c r="E20" s="896">
        <v>157935</v>
      </c>
      <c r="F20" s="896">
        <v>3984</v>
      </c>
      <c r="G20" s="896">
        <v>368214</v>
      </c>
      <c r="H20" s="897">
        <v>280163</v>
      </c>
      <c r="I20" s="896">
        <v>668787</v>
      </c>
      <c r="J20" s="896">
        <v>5832</v>
      </c>
      <c r="K20" s="896">
        <v>175773</v>
      </c>
      <c r="L20" s="896">
        <v>-4169</v>
      </c>
      <c r="M20" s="896">
        <v>317808</v>
      </c>
      <c r="N20" s="896">
        <v>329414</v>
      </c>
      <c r="O20" s="896">
        <f t="shared" si="0"/>
        <v>3432730</v>
      </c>
      <c r="Q20" s="78">
        <f t="shared" si="1"/>
        <v>1.6915860220620076</v>
      </c>
    </row>
    <row r="21" spans="1:17" ht="24.95" customHeight="1" x14ac:dyDescent="0.25">
      <c r="A21" s="894">
        <v>15</v>
      </c>
      <c r="B21" s="895" t="s">
        <v>493</v>
      </c>
      <c r="C21" s="896">
        <v>1155792</v>
      </c>
      <c r="D21" s="896">
        <v>-446</v>
      </c>
      <c r="E21" s="896">
        <v>248919</v>
      </c>
      <c r="F21" s="896">
        <v>281270</v>
      </c>
      <c r="G21" s="896">
        <v>192566</v>
      </c>
      <c r="H21" s="897">
        <v>163841</v>
      </c>
      <c r="I21" s="896">
        <v>3385</v>
      </c>
      <c r="J21" s="896">
        <v>540384</v>
      </c>
      <c r="K21" s="896">
        <v>212589</v>
      </c>
      <c r="L21" s="896">
        <v>59996</v>
      </c>
      <c r="M21" s="896">
        <v>820605</v>
      </c>
      <c r="N21" s="896">
        <v>312108</v>
      </c>
      <c r="O21" s="896">
        <f t="shared" si="0"/>
        <v>3991009</v>
      </c>
      <c r="Q21" s="78">
        <f t="shared" si="1"/>
        <v>1.9666956149547652</v>
      </c>
    </row>
    <row r="22" spans="1:17" ht="24.95" customHeight="1" x14ac:dyDescent="0.25">
      <c r="A22" s="894">
        <v>16</v>
      </c>
      <c r="B22" s="895" t="s">
        <v>161</v>
      </c>
      <c r="C22" s="896">
        <v>1847091</v>
      </c>
      <c r="D22" s="896">
        <v>0</v>
      </c>
      <c r="E22" s="896">
        <v>921115</v>
      </c>
      <c r="F22" s="896">
        <v>0</v>
      </c>
      <c r="G22" s="896">
        <v>929631</v>
      </c>
      <c r="H22" s="897">
        <v>3327228</v>
      </c>
      <c r="I22" s="896">
        <v>0</v>
      </c>
      <c r="J22" s="896">
        <v>0</v>
      </c>
      <c r="K22" s="896">
        <v>0</v>
      </c>
      <c r="L22" s="896">
        <v>-23355</v>
      </c>
      <c r="M22" s="896">
        <v>924089</v>
      </c>
      <c r="N22" s="896">
        <v>934418</v>
      </c>
      <c r="O22" s="896">
        <f t="shared" si="0"/>
        <v>8860217</v>
      </c>
      <c r="Q22" s="78">
        <f t="shared" si="1"/>
        <v>4.3661514973901747</v>
      </c>
    </row>
    <row r="23" spans="1:17" ht="24.95" customHeight="1" x14ac:dyDescent="0.25">
      <c r="A23" s="894">
        <v>17</v>
      </c>
      <c r="B23" s="895" t="s">
        <v>162</v>
      </c>
      <c r="C23" s="896">
        <v>0</v>
      </c>
      <c r="D23" s="896">
        <v>0</v>
      </c>
      <c r="E23" s="896">
        <v>0</v>
      </c>
      <c r="F23" s="896">
        <v>0</v>
      </c>
      <c r="G23" s="896">
        <v>0</v>
      </c>
      <c r="H23" s="897">
        <v>26460</v>
      </c>
      <c r="I23" s="896">
        <v>12688</v>
      </c>
      <c r="J23" s="896">
        <v>12723</v>
      </c>
      <c r="K23" s="896">
        <v>0</v>
      </c>
      <c r="L23" s="896">
        <v>0</v>
      </c>
      <c r="M23" s="896">
        <v>0</v>
      </c>
      <c r="N23" s="896">
        <v>0</v>
      </c>
      <c r="O23" s="896">
        <f t="shared" si="0"/>
        <v>51871</v>
      </c>
      <c r="Q23" s="78">
        <f t="shared" si="1"/>
        <v>2.5561071960328481E-2</v>
      </c>
    </row>
    <row r="24" spans="1:17" ht="24.95" customHeight="1" x14ac:dyDescent="0.25">
      <c r="A24" s="894">
        <v>18</v>
      </c>
      <c r="B24" s="895" t="s">
        <v>163</v>
      </c>
      <c r="C24" s="896">
        <v>29852</v>
      </c>
      <c r="D24" s="896">
        <v>19721761</v>
      </c>
      <c r="E24" s="896">
        <v>24561</v>
      </c>
      <c r="F24" s="896">
        <v>178669</v>
      </c>
      <c r="G24" s="896">
        <v>21175</v>
      </c>
      <c r="H24" s="897">
        <v>1064858</v>
      </c>
      <c r="I24" s="896">
        <v>20075055</v>
      </c>
      <c r="J24" s="896">
        <v>2674920</v>
      </c>
      <c r="K24" s="896">
        <v>3696085</v>
      </c>
      <c r="L24" s="896">
        <v>743180</v>
      </c>
      <c r="M24" s="896">
        <v>15691434</v>
      </c>
      <c r="N24" s="896">
        <v>3568999</v>
      </c>
      <c r="O24" s="896">
        <f t="shared" si="0"/>
        <v>67490549</v>
      </c>
      <c r="Q24" s="78">
        <f t="shared" si="1"/>
        <v>33.258097581135424</v>
      </c>
    </row>
    <row r="25" spans="1:17" ht="24.95" customHeight="1" x14ac:dyDescent="0.25">
      <c r="A25" s="894">
        <v>19</v>
      </c>
      <c r="B25" s="895" t="s">
        <v>164</v>
      </c>
      <c r="C25" s="896">
        <v>0</v>
      </c>
      <c r="D25" s="896">
        <v>1729082</v>
      </c>
      <c r="E25" s="896">
        <v>1590812</v>
      </c>
      <c r="F25" s="896">
        <v>287966</v>
      </c>
      <c r="G25" s="896">
        <v>1349777</v>
      </c>
      <c r="H25" s="897">
        <v>1061484</v>
      </c>
      <c r="I25" s="896">
        <v>1693605</v>
      </c>
      <c r="J25" s="896">
        <v>1615674</v>
      </c>
      <c r="K25" s="896">
        <v>0</v>
      </c>
      <c r="L25" s="896">
        <v>-43968</v>
      </c>
      <c r="M25" s="896">
        <v>0</v>
      </c>
      <c r="N25" s="896">
        <v>531224</v>
      </c>
      <c r="O25" s="896">
        <f t="shared" si="0"/>
        <v>9815656</v>
      </c>
      <c r="Q25" s="78">
        <f t="shared" si="1"/>
        <v>4.8369742120612678</v>
      </c>
    </row>
    <row r="26" spans="1:17" ht="24.95" customHeight="1" x14ac:dyDescent="0.25">
      <c r="A26" s="894">
        <v>20</v>
      </c>
      <c r="B26" s="895" t="s">
        <v>165</v>
      </c>
      <c r="C26" s="896">
        <v>1312510</v>
      </c>
      <c r="D26" s="896">
        <v>425319</v>
      </c>
      <c r="E26" s="896">
        <v>2806733</v>
      </c>
      <c r="F26" s="896">
        <v>1045419</v>
      </c>
      <c r="G26" s="896">
        <v>1580916</v>
      </c>
      <c r="H26" s="897">
        <v>1047870</v>
      </c>
      <c r="I26" s="896">
        <v>1357122</v>
      </c>
      <c r="J26" s="896">
        <v>2287130</v>
      </c>
      <c r="K26" s="896">
        <v>832815</v>
      </c>
      <c r="L26" s="896">
        <v>1015899</v>
      </c>
      <c r="M26" s="896">
        <v>0</v>
      </c>
      <c r="N26" s="896">
        <v>945258</v>
      </c>
      <c r="O26" s="896">
        <f t="shared" si="0"/>
        <v>14656991</v>
      </c>
      <c r="Q26" s="78">
        <f t="shared" si="1"/>
        <v>7.2226947942566548</v>
      </c>
    </row>
    <row r="27" spans="1:17" ht="24.95" customHeight="1" x14ac:dyDescent="0.25">
      <c r="A27" s="1241" t="s">
        <v>168</v>
      </c>
      <c r="B27" s="1242"/>
      <c r="C27" s="899">
        <f>SUM(C7:C26)</f>
        <v>10495690</v>
      </c>
      <c r="D27" s="899">
        <f t="shared" ref="D27:O27" si="2">SUM(D7:D26)</f>
        <v>33877485</v>
      </c>
      <c r="E27" s="899">
        <f t="shared" si="2"/>
        <v>17164463</v>
      </c>
      <c r="F27" s="899">
        <f t="shared" si="2"/>
        <v>9864539</v>
      </c>
      <c r="G27" s="899">
        <f t="shared" si="2"/>
        <v>11764878</v>
      </c>
      <c r="H27" s="899">
        <f t="shared" si="2"/>
        <v>13301062</v>
      </c>
      <c r="I27" s="899">
        <f t="shared" si="2"/>
        <v>31189733</v>
      </c>
      <c r="J27" s="899">
        <f t="shared" si="2"/>
        <v>18982035</v>
      </c>
      <c r="K27" s="899">
        <f t="shared" si="2"/>
        <v>13000688</v>
      </c>
      <c r="L27" s="899">
        <f t="shared" si="2"/>
        <v>2529423</v>
      </c>
      <c r="M27" s="899">
        <f t="shared" si="2"/>
        <v>27908142</v>
      </c>
      <c r="N27" s="899">
        <f t="shared" si="2"/>
        <v>12851536</v>
      </c>
      <c r="O27" s="900">
        <f t="shared" si="2"/>
        <v>202929674</v>
      </c>
      <c r="Q27" s="78">
        <f>SUM(Q7:Q26)</f>
        <v>99.999999999999986</v>
      </c>
    </row>
    <row r="28" spans="1:17" x14ac:dyDescent="0.25">
      <c r="H28" s="901"/>
    </row>
    <row r="29" spans="1:17" x14ac:dyDescent="0.25">
      <c r="H29" s="123"/>
    </row>
  </sheetData>
  <mergeCells count="17">
    <mergeCell ref="O4:O6"/>
    <mergeCell ref="Q4:Q6"/>
    <mergeCell ref="A1:O2"/>
    <mergeCell ref="B4:B6"/>
    <mergeCell ref="C4:C6"/>
    <mergeCell ref="D4:D6"/>
    <mergeCell ref="E4:E6"/>
    <mergeCell ref="F4:F6"/>
    <mergeCell ref="G4:G6"/>
    <mergeCell ref="H4:H6"/>
    <mergeCell ref="I4:I6"/>
    <mergeCell ref="J4:J6"/>
    <mergeCell ref="A27:B27"/>
    <mergeCell ref="K4:K6"/>
    <mergeCell ref="L4:L6"/>
    <mergeCell ref="M4:M6"/>
    <mergeCell ref="N4:N6"/>
  </mergeCells>
  <pageMargins left="0.70866141732283472" right="0.70866141732283472" top="0.74803149606299213" bottom="0.74803149606299213" header="0.31496062992125984" footer="0.31496062992125984"/>
  <pageSetup scale="55"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pageSetUpPr fitToPage="1"/>
  </sheetPr>
  <dimension ref="A1:R29"/>
  <sheetViews>
    <sheetView zoomScaleNormal="100" workbookViewId="0">
      <selection activeCell="R7" sqref="R7"/>
    </sheetView>
  </sheetViews>
  <sheetFormatPr baseColWidth="10" defaultRowHeight="15" x14ac:dyDescent="0.25"/>
  <cols>
    <col min="1" max="1" width="3.7109375" customWidth="1"/>
    <col min="2" max="2" width="18.5703125" customWidth="1"/>
    <col min="3" max="15" width="13.28515625" customWidth="1"/>
    <col min="16" max="16" width="14.28515625" customWidth="1"/>
  </cols>
  <sheetData>
    <row r="1" spans="1:18" x14ac:dyDescent="0.25">
      <c r="A1" s="1245" t="s">
        <v>494</v>
      </c>
      <c r="B1" s="1245"/>
      <c r="C1" s="1245"/>
      <c r="D1" s="1245"/>
      <c r="E1" s="1245"/>
      <c r="F1" s="1245"/>
      <c r="G1" s="1245"/>
      <c r="H1" s="1245"/>
      <c r="I1" s="1245"/>
      <c r="J1" s="1245"/>
      <c r="K1" s="1245"/>
      <c r="L1" s="1245"/>
      <c r="M1" s="1245"/>
      <c r="N1" s="1245"/>
      <c r="O1" s="1245"/>
      <c r="P1" s="1245"/>
    </row>
    <row r="2" spans="1:18" x14ac:dyDescent="0.25">
      <c r="A2" s="1245"/>
      <c r="B2" s="1245"/>
      <c r="C2" s="1245"/>
      <c r="D2" s="1245"/>
      <c r="E2" s="1245"/>
      <c r="F2" s="1245"/>
      <c r="G2" s="1245"/>
      <c r="H2" s="1245"/>
      <c r="I2" s="1245"/>
      <c r="J2" s="1245"/>
      <c r="K2" s="1245"/>
      <c r="L2" s="1245"/>
      <c r="M2" s="1245"/>
      <c r="N2" s="1245"/>
      <c r="O2" s="1245"/>
      <c r="P2" s="1245"/>
    </row>
    <row r="4" spans="1:18" ht="15.75" customHeight="1" x14ac:dyDescent="0.25">
      <c r="A4" s="891" t="s">
        <v>487</v>
      </c>
      <c r="B4" s="1246" t="s">
        <v>348</v>
      </c>
      <c r="C4" s="1243" t="s">
        <v>1</v>
      </c>
      <c r="D4" s="1243" t="s">
        <v>2</v>
      </c>
      <c r="E4" s="1243" t="s">
        <v>3</v>
      </c>
      <c r="F4" s="1249" t="s">
        <v>495</v>
      </c>
      <c r="G4" s="1243" t="s">
        <v>4</v>
      </c>
      <c r="H4" s="1252" t="s">
        <v>5</v>
      </c>
      <c r="I4" s="1243" t="s">
        <v>6</v>
      </c>
      <c r="J4" s="1243" t="s">
        <v>7</v>
      </c>
      <c r="K4" s="1243" t="s">
        <v>8</v>
      </c>
      <c r="L4" s="1243" t="s">
        <v>9</v>
      </c>
      <c r="M4" s="1243" t="s">
        <v>10</v>
      </c>
      <c r="N4" s="1243" t="s">
        <v>11</v>
      </c>
      <c r="O4" s="1243" t="s">
        <v>12</v>
      </c>
      <c r="P4" s="1243" t="s">
        <v>168</v>
      </c>
      <c r="R4" s="1244"/>
    </row>
    <row r="5" spans="1:18" ht="15.75" customHeight="1" x14ac:dyDescent="0.25">
      <c r="A5" s="892" t="s">
        <v>489</v>
      </c>
      <c r="B5" s="1247"/>
      <c r="C5" s="1243"/>
      <c r="D5" s="1243"/>
      <c r="E5" s="1243"/>
      <c r="F5" s="1250"/>
      <c r="G5" s="1243"/>
      <c r="H5" s="1253"/>
      <c r="I5" s="1243"/>
      <c r="J5" s="1243"/>
      <c r="K5" s="1243"/>
      <c r="L5" s="1243"/>
      <c r="M5" s="1243"/>
      <c r="N5" s="1243"/>
      <c r="O5" s="1243"/>
      <c r="P5" s="1243"/>
      <c r="R5" s="1244"/>
    </row>
    <row r="6" spans="1:18" ht="15.75" customHeight="1" x14ac:dyDescent="0.25">
      <c r="A6" s="893" t="s">
        <v>490</v>
      </c>
      <c r="B6" s="1248"/>
      <c r="C6" s="1243"/>
      <c r="D6" s="1243"/>
      <c r="E6" s="1243"/>
      <c r="F6" s="1251"/>
      <c r="G6" s="1243"/>
      <c r="H6" s="1254"/>
      <c r="I6" s="1243"/>
      <c r="J6" s="1243"/>
      <c r="K6" s="1243"/>
      <c r="L6" s="1243"/>
      <c r="M6" s="1243"/>
      <c r="N6" s="1243"/>
      <c r="O6" s="1243"/>
      <c r="P6" s="1243"/>
      <c r="R6" s="1244"/>
    </row>
    <row r="7" spans="1:18" ht="24.95" customHeight="1" x14ac:dyDescent="0.25">
      <c r="A7" s="894">
        <v>1</v>
      </c>
      <c r="B7" s="895" t="s">
        <v>282</v>
      </c>
      <c r="C7" s="896">
        <v>230889.95</v>
      </c>
      <c r="D7" s="896">
        <v>44459.15</v>
      </c>
      <c r="E7" s="896">
        <v>31816.67</v>
      </c>
      <c r="F7" s="896">
        <v>-185687.83275438202</v>
      </c>
      <c r="G7" s="896">
        <v>99054.54</v>
      </c>
      <c r="H7" s="896">
        <v>284794.21999999997</v>
      </c>
      <c r="I7" s="897">
        <v>142921.01999999999</v>
      </c>
      <c r="J7" s="896">
        <v>141448.73000000001</v>
      </c>
      <c r="K7" s="896">
        <v>97957.92</v>
      </c>
      <c r="L7" s="896">
        <v>84986.77</v>
      </c>
      <c r="M7" s="896">
        <v>75215.03</v>
      </c>
      <c r="N7" s="896">
        <v>94789.84</v>
      </c>
      <c r="O7" s="896">
        <v>96318.09</v>
      </c>
      <c r="P7" s="896">
        <f t="shared" ref="P7:P26" si="0">SUM(C7:O7)</f>
        <v>1238964.0972456182</v>
      </c>
      <c r="R7" s="78">
        <f>P7/$P$27*100</f>
        <v>3.6956981722928051</v>
      </c>
    </row>
    <row r="8" spans="1:18" ht="24.95" customHeight="1" x14ac:dyDescent="0.25">
      <c r="A8" s="894">
        <v>2</v>
      </c>
      <c r="B8" s="895" t="s">
        <v>147</v>
      </c>
      <c r="C8" s="896">
        <v>159066.10999999999</v>
      </c>
      <c r="D8" s="896">
        <v>30714.560000000001</v>
      </c>
      <c r="E8" s="896">
        <v>21980.51</v>
      </c>
      <c r="F8" s="896">
        <v>-128282.24603563</v>
      </c>
      <c r="G8" s="896">
        <v>68431.73</v>
      </c>
      <c r="H8" s="896">
        <v>196749.79</v>
      </c>
      <c r="I8" s="897">
        <v>98736.84</v>
      </c>
      <c r="J8" s="896">
        <v>97719.71</v>
      </c>
      <c r="K8" s="896">
        <v>67674.13</v>
      </c>
      <c r="L8" s="896">
        <v>58713.02</v>
      </c>
      <c r="M8" s="896">
        <v>51962.23</v>
      </c>
      <c r="N8" s="896">
        <v>65485.46</v>
      </c>
      <c r="O8" s="896">
        <v>66541.25</v>
      </c>
      <c r="P8" s="896">
        <f t="shared" si="0"/>
        <v>855493.09396436985</v>
      </c>
      <c r="R8" s="78">
        <f t="shared" ref="R8:R26" si="1">P8/$P$27*100</f>
        <v>2.5518449411100721</v>
      </c>
    </row>
    <row r="9" spans="1:18" ht="24.95" customHeight="1" x14ac:dyDescent="0.25">
      <c r="A9" s="894">
        <v>3</v>
      </c>
      <c r="B9" s="895" t="s">
        <v>148</v>
      </c>
      <c r="C9" s="896">
        <v>163443.22</v>
      </c>
      <c r="D9" s="896">
        <v>31697.66</v>
      </c>
      <c r="E9" s="896">
        <v>22684.06</v>
      </c>
      <c r="F9" s="896">
        <v>-132388.28906797199</v>
      </c>
      <c r="G9" s="896">
        <v>70622.080000000002</v>
      </c>
      <c r="H9" s="896">
        <v>203047.33</v>
      </c>
      <c r="I9" s="897">
        <v>101897.19</v>
      </c>
      <c r="J9" s="896">
        <v>100847.51</v>
      </c>
      <c r="K9" s="896">
        <v>69840.23</v>
      </c>
      <c r="L9" s="896">
        <v>60592.3</v>
      </c>
      <c r="M9" s="896">
        <v>53625.43</v>
      </c>
      <c r="N9" s="896">
        <v>67581.509999999995</v>
      </c>
      <c r="O9" s="896">
        <v>68671.100000000006</v>
      </c>
      <c r="P9" s="896">
        <f t="shared" si="0"/>
        <v>882161.33093202801</v>
      </c>
      <c r="R9" s="78">
        <f t="shared" si="1"/>
        <v>2.6313934565503119</v>
      </c>
    </row>
    <row r="10" spans="1:18" ht="24.95" customHeight="1" x14ac:dyDescent="0.25">
      <c r="A10" s="894">
        <v>4</v>
      </c>
      <c r="B10" s="895" t="s">
        <v>491</v>
      </c>
      <c r="C10" s="896">
        <v>573767.36</v>
      </c>
      <c r="D10" s="896">
        <v>130614.07</v>
      </c>
      <c r="E10" s="896">
        <v>93472.44</v>
      </c>
      <c r="F10" s="896">
        <v>-545522.00401815202</v>
      </c>
      <c r="G10" s="896">
        <v>291006.86</v>
      </c>
      <c r="H10" s="896">
        <v>836681.16</v>
      </c>
      <c r="I10" s="897">
        <v>419879.74</v>
      </c>
      <c r="J10" s="896">
        <v>415554.41</v>
      </c>
      <c r="K10" s="896">
        <v>287785.15000000002</v>
      </c>
      <c r="L10" s="896">
        <v>249677.94</v>
      </c>
      <c r="M10" s="896">
        <v>220970.08</v>
      </c>
      <c r="N10" s="896">
        <v>278477.83</v>
      </c>
      <c r="O10" s="896">
        <v>282967.59000000003</v>
      </c>
      <c r="P10" s="896">
        <f t="shared" si="0"/>
        <v>3535332.6259818478</v>
      </c>
      <c r="R10" s="78">
        <f t="shared" si="1"/>
        <v>10.545521337813282</v>
      </c>
    </row>
    <row r="11" spans="1:18" ht="24.95" customHeight="1" x14ac:dyDescent="0.25">
      <c r="A11" s="894">
        <v>5</v>
      </c>
      <c r="B11" s="895" t="s">
        <v>150</v>
      </c>
      <c r="C11" s="896">
        <v>447901.68</v>
      </c>
      <c r="D11" s="896">
        <v>87298.34</v>
      </c>
      <c r="E11" s="896">
        <v>62474.04</v>
      </c>
      <c r="F11" s="896">
        <v>-364609.77929653198</v>
      </c>
      <c r="G11" s="896">
        <v>194499.85</v>
      </c>
      <c r="H11" s="896">
        <v>559211.42000000004</v>
      </c>
      <c r="I11" s="897">
        <v>280634.44</v>
      </c>
      <c r="J11" s="896">
        <v>277743.52</v>
      </c>
      <c r="K11" s="896">
        <v>192346.56</v>
      </c>
      <c r="L11" s="896">
        <v>166876.9</v>
      </c>
      <c r="M11" s="896">
        <v>147689.47</v>
      </c>
      <c r="N11" s="896">
        <v>186125.84</v>
      </c>
      <c r="O11" s="896">
        <v>189126.65</v>
      </c>
      <c r="P11" s="896">
        <f t="shared" si="0"/>
        <v>2427318.9307034682</v>
      </c>
      <c r="R11" s="78">
        <f t="shared" si="1"/>
        <v>7.2404342916113968</v>
      </c>
    </row>
    <row r="12" spans="1:18" ht="24.95" customHeight="1" x14ac:dyDescent="0.25">
      <c r="A12" s="894">
        <v>6</v>
      </c>
      <c r="B12" s="895" t="s">
        <v>284</v>
      </c>
      <c r="C12" s="896">
        <v>230011.54</v>
      </c>
      <c r="D12" s="896">
        <v>46786.51</v>
      </c>
      <c r="E12" s="896">
        <v>33482.22</v>
      </c>
      <c r="F12" s="896">
        <v>-195408.28175218997</v>
      </c>
      <c r="G12" s="896">
        <v>104239.88</v>
      </c>
      <c r="H12" s="896">
        <v>299702.71999999997</v>
      </c>
      <c r="I12" s="897">
        <v>150402.69</v>
      </c>
      <c r="J12" s="896">
        <v>148853.34</v>
      </c>
      <c r="K12" s="896">
        <v>103085.86</v>
      </c>
      <c r="L12" s="896">
        <v>89435.69</v>
      </c>
      <c r="M12" s="896">
        <v>79152.42</v>
      </c>
      <c r="N12" s="896">
        <v>99751.93</v>
      </c>
      <c r="O12" s="896">
        <v>101360.18</v>
      </c>
      <c r="P12" s="896">
        <f t="shared" si="0"/>
        <v>1290856.6982478097</v>
      </c>
      <c r="R12" s="78">
        <f t="shared" si="1"/>
        <v>3.8504882837299879</v>
      </c>
    </row>
    <row r="13" spans="1:18" ht="24.95" customHeight="1" x14ac:dyDescent="0.25">
      <c r="A13" s="894">
        <v>7</v>
      </c>
      <c r="B13" s="895" t="s">
        <v>152</v>
      </c>
      <c r="C13" s="896">
        <v>173986.17</v>
      </c>
      <c r="D13" s="896">
        <v>33710.79</v>
      </c>
      <c r="E13" s="896">
        <v>24124.73</v>
      </c>
      <c r="F13" s="896">
        <v>-140796.29984227399</v>
      </c>
      <c r="G13" s="896">
        <v>75107.31</v>
      </c>
      <c r="H13" s="896">
        <v>215942.91</v>
      </c>
      <c r="I13" s="897">
        <v>108368.71</v>
      </c>
      <c r="J13" s="896">
        <v>107252.36</v>
      </c>
      <c r="K13" s="896">
        <v>74275.8</v>
      </c>
      <c r="L13" s="896">
        <v>64440.54</v>
      </c>
      <c r="M13" s="896">
        <v>57031.19</v>
      </c>
      <c r="N13" s="896">
        <v>71873.63</v>
      </c>
      <c r="O13" s="896">
        <v>73032.41</v>
      </c>
      <c r="P13" s="896">
        <f t="shared" si="0"/>
        <v>938350.25015772623</v>
      </c>
      <c r="R13" s="78">
        <f t="shared" si="1"/>
        <v>2.7989990284528155</v>
      </c>
    </row>
    <row r="14" spans="1:18" ht="24.95" customHeight="1" x14ac:dyDescent="0.25">
      <c r="A14" s="894">
        <v>8</v>
      </c>
      <c r="B14" s="895" t="s">
        <v>153</v>
      </c>
      <c r="C14" s="896">
        <v>210330.92</v>
      </c>
      <c r="D14" s="896">
        <v>40590.620000000003</v>
      </c>
      <c r="E14" s="896">
        <v>29048.21</v>
      </c>
      <c r="F14" s="896">
        <v>-169530.57839835397</v>
      </c>
      <c r="G14" s="896">
        <v>90435.51</v>
      </c>
      <c r="H14" s="896">
        <v>260013.42</v>
      </c>
      <c r="I14" s="897">
        <v>130485.03</v>
      </c>
      <c r="J14" s="896">
        <v>129140.86</v>
      </c>
      <c r="K14" s="896">
        <v>89434.31</v>
      </c>
      <c r="L14" s="896">
        <v>77591.820000000007</v>
      </c>
      <c r="M14" s="896">
        <v>68670.350000000006</v>
      </c>
      <c r="N14" s="896">
        <v>86541.89</v>
      </c>
      <c r="O14" s="896">
        <v>87937.16</v>
      </c>
      <c r="P14" s="896">
        <f t="shared" si="0"/>
        <v>1130689.521601646</v>
      </c>
      <c r="R14" s="78">
        <f t="shared" si="1"/>
        <v>3.3727266251730823</v>
      </c>
    </row>
    <row r="15" spans="1:18" ht="24.95" customHeight="1" x14ac:dyDescent="0.25">
      <c r="A15" s="894">
        <v>9</v>
      </c>
      <c r="B15" s="895" t="s">
        <v>154</v>
      </c>
      <c r="C15" s="896">
        <v>199578.75</v>
      </c>
      <c r="D15" s="896">
        <v>39127.22</v>
      </c>
      <c r="E15" s="896">
        <v>28000.94</v>
      </c>
      <c r="F15" s="896">
        <v>-163418.51458818998</v>
      </c>
      <c r="G15" s="896">
        <v>87175.05</v>
      </c>
      <c r="H15" s="896">
        <v>250639.19</v>
      </c>
      <c r="I15" s="897">
        <v>125780.67</v>
      </c>
      <c r="J15" s="896">
        <v>124484.96</v>
      </c>
      <c r="K15" s="896">
        <v>86209.95</v>
      </c>
      <c r="L15" s="896">
        <v>74794.41</v>
      </c>
      <c r="M15" s="896">
        <v>66194.59</v>
      </c>
      <c r="N15" s="896">
        <v>83421.81</v>
      </c>
      <c r="O15" s="896">
        <v>84766.78</v>
      </c>
      <c r="P15" s="896">
        <f t="shared" si="0"/>
        <v>1086755.8054118101</v>
      </c>
      <c r="R15" s="78">
        <f t="shared" si="1"/>
        <v>3.2416770209224279</v>
      </c>
    </row>
    <row r="16" spans="1:18" ht="24.95" customHeight="1" x14ac:dyDescent="0.25">
      <c r="A16" s="894">
        <v>10</v>
      </c>
      <c r="B16" s="895" t="s">
        <v>155</v>
      </c>
      <c r="C16" s="896">
        <v>148183.26</v>
      </c>
      <c r="D16" s="896">
        <v>29075.99</v>
      </c>
      <c r="E16" s="896">
        <v>20807.89</v>
      </c>
      <c r="F16" s="896">
        <v>-121438.605515512</v>
      </c>
      <c r="G16" s="896">
        <v>64781.01</v>
      </c>
      <c r="H16" s="896">
        <v>186253.52</v>
      </c>
      <c r="I16" s="897">
        <v>93469.39</v>
      </c>
      <c r="J16" s="896">
        <v>92506.53</v>
      </c>
      <c r="K16" s="896">
        <v>64063.83</v>
      </c>
      <c r="L16" s="896">
        <v>55580.78</v>
      </c>
      <c r="M16" s="896">
        <v>49190.13</v>
      </c>
      <c r="N16" s="896">
        <v>61991.92</v>
      </c>
      <c r="O16" s="896">
        <v>62991.39</v>
      </c>
      <c r="P16" s="896">
        <f t="shared" si="0"/>
        <v>807457.03448448807</v>
      </c>
      <c r="R16" s="78">
        <f t="shared" si="1"/>
        <v>2.4085584829967073</v>
      </c>
    </row>
    <row r="17" spans="1:18" ht="24.95" customHeight="1" x14ac:dyDescent="0.25">
      <c r="A17" s="894">
        <v>11</v>
      </c>
      <c r="B17" s="895" t="s">
        <v>156</v>
      </c>
      <c r="C17" s="896">
        <v>226746.16</v>
      </c>
      <c r="D17" s="896">
        <v>43596.37</v>
      </c>
      <c r="E17" s="896">
        <v>31199.23</v>
      </c>
      <c r="F17" s="896">
        <v>-182084.3419002</v>
      </c>
      <c r="G17" s="896">
        <v>97132.27</v>
      </c>
      <c r="H17" s="896">
        <v>279267.45</v>
      </c>
      <c r="I17" s="897">
        <v>140147.47</v>
      </c>
      <c r="J17" s="896">
        <v>138703.76</v>
      </c>
      <c r="K17" s="896">
        <v>96056.93</v>
      </c>
      <c r="L17" s="896">
        <v>83337.509999999995</v>
      </c>
      <c r="M17" s="896">
        <v>73755.399999999994</v>
      </c>
      <c r="N17" s="896">
        <v>92950.33</v>
      </c>
      <c r="O17" s="896">
        <v>94448.92</v>
      </c>
      <c r="P17" s="896">
        <f t="shared" si="0"/>
        <v>1215257.4580997999</v>
      </c>
      <c r="R17" s="78">
        <f t="shared" si="1"/>
        <v>3.6249837882705553</v>
      </c>
    </row>
    <row r="18" spans="1:18" ht="24.95" customHeight="1" x14ac:dyDescent="0.25">
      <c r="A18" s="894">
        <v>12</v>
      </c>
      <c r="B18" s="895" t="s">
        <v>157</v>
      </c>
      <c r="C18" s="896">
        <v>216643.25</v>
      </c>
      <c r="D18" s="896">
        <v>41672.46</v>
      </c>
      <c r="E18" s="896">
        <v>29822.41</v>
      </c>
      <c r="F18" s="896">
        <v>-174048.95641060799</v>
      </c>
      <c r="G18" s="896">
        <v>92845.83</v>
      </c>
      <c r="H18" s="896">
        <v>266943.37</v>
      </c>
      <c r="I18" s="897">
        <v>133962.76</v>
      </c>
      <c r="J18" s="896">
        <v>132582.76</v>
      </c>
      <c r="K18" s="896">
        <v>91817.94</v>
      </c>
      <c r="L18" s="896">
        <v>79659.820000000007</v>
      </c>
      <c r="M18" s="896">
        <v>70500.570000000007</v>
      </c>
      <c r="N18" s="896">
        <v>88848.43</v>
      </c>
      <c r="O18" s="896">
        <v>90280.89</v>
      </c>
      <c r="P18" s="896">
        <f t="shared" si="0"/>
        <v>1161531.533589392</v>
      </c>
      <c r="R18" s="78">
        <f t="shared" si="1"/>
        <v>3.4647250677319463</v>
      </c>
    </row>
    <row r="19" spans="1:18" ht="24.95" customHeight="1" x14ac:dyDescent="0.25">
      <c r="A19" s="894">
        <v>13</v>
      </c>
      <c r="B19" s="898" t="s">
        <v>158</v>
      </c>
      <c r="C19" s="896">
        <v>231510.39</v>
      </c>
      <c r="D19" s="896">
        <v>43220.03</v>
      </c>
      <c r="E19" s="896">
        <v>30929.91</v>
      </c>
      <c r="F19" s="896">
        <v>-180512.55446025397</v>
      </c>
      <c r="G19" s="896">
        <v>96293.81</v>
      </c>
      <c r="H19" s="896">
        <v>276856.76</v>
      </c>
      <c r="I19" s="897">
        <v>138937.69</v>
      </c>
      <c r="J19" s="896">
        <v>137506.44</v>
      </c>
      <c r="K19" s="896">
        <v>95227.75</v>
      </c>
      <c r="L19" s="896">
        <v>82618.12</v>
      </c>
      <c r="M19" s="896">
        <v>73118.73</v>
      </c>
      <c r="N19" s="896">
        <v>92147.97</v>
      </c>
      <c r="O19" s="896">
        <v>93633.62</v>
      </c>
      <c r="P19" s="896">
        <f t="shared" si="0"/>
        <v>1211488.6655397462</v>
      </c>
      <c r="R19" s="78">
        <f t="shared" si="1"/>
        <v>3.6137418807714554</v>
      </c>
    </row>
    <row r="20" spans="1:18" ht="24.95" customHeight="1" x14ac:dyDescent="0.25">
      <c r="A20" s="894">
        <v>14</v>
      </c>
      <c r="B20" s="895" t="s">
        <v>492</v>
      </c>
      <c r="C20" s="896">
        <v>167189.59</v>
      </c>
      <c r="D20" s="896">
        <v>32690.11</v>
      </c>
      <c r="E20" s="896">
        <v>23394.3</v>
      </c>
      <c r="F20" s="896">
        <v>-136533.33539687199</v>
      </c>
      <c r="G20" s="896">
        <v>72833.240000000005</v>
      </c>
      <c r="H20" s="896">
        <v>209404.7</v>
      </c>
      <c r="I20" s="897">
        <v>105087.57</v>
      </c>
      <c r="J20" s="896">
        <v>104005.02</v>
      </c>
      <c r="K20" s="896">
        <v>72026.91</v>
      </c>
      <c r="L20" s="896">
        <v>62489.440000000002</v>
      </c>
      <c r="M20" s="896">
        <v>55304.43</v>
      </c>
      <c r="N20" s="896">
        <v>69697.48</v>
      </c>
      <c r="O20" s="896">
        <v>70821.17</v>
      </c>
      <c r="P20" s="896">
        <f t="shared" si="0"/>
        <v>908410.62460312806</v>
      </c>
      <c r="R20" s="78">
        <f t="shared" si="1"/>
        <v>2.7096923086800278</v>
      </c>
    </row>
    <row r="21" spans="1:18" ht="24.95" customHeight="1" x14ac:dyDescent="0.25">
      <c r="A21" s="894">
        <v>15</v>
      </c>
      <c r="B21" s="895" t="s">
        <v>493</v>
      </c>
      <c r="C21" s="896">
        <v>169511.74</v>
      </c>
      <c r="D21" s="896">
        <v>33353.769999999997</v>
      </c>
      <c r="E21" s="896">
        <v>23869.24</v>
      </c>
      <c r="F21" s="896">
        <v>-139305.19321888199</v>
      </c>
      <c r="G21" s="896">
        <v>74311.88</v>
      </c>
      <c r="H21" s="896">
        <v>213655.97</v>
      </c>
      <c r="I21" s="897">
        <v>107221.03</v>
      </c>
      <c r="J21" s="896">
        <v>106116.5</v>
      </c>
      <c r="K21" s="896">
        <v>73489.179999999993</v>
      </c>
      <c r="L21" s="896">
        <v>63758.080000000002</v>
      </c>
      <c r="M21" s="896">
        <v>56427.199999999997</v>
      </c>
      <c r="N21" s="896">
        <v>71112.45</v>
      </c>
      <c r="O21" s="896">
        <v>72258.960000000006</v>
      </c>
      <c r="P21" s="896">
        <f t="shared" si="0"/>
        <v>925780.80678111792</v>
      </c>
      <c r="R21" s="78">
        <f t="shared" si="1"/>
        <v>2.7615057152753471</v>
      </c>
    </row>
    <row r="22" spans="1:18" ht="24.95" customHeight="1" x14ac:dyDescent="0.25">
      <c r="A22" s="894">
        <v>16</v>
      </c>
      <c r="B22" s="895" t="s">
        <v>161</v>
      </c>
      <c r="C22" s="896">
        <v>414160.22</v>
      </c>
      <c r="D22" s="896">
        <v>76813.320000000007</v>
      </c>
      <c r="E22" s="896">
        <v>54970.559999999998</v>
      </c>
      <c r="F22" s="896">
        <v>-320818.10907313199</v>
      </c>
      <c r="G22" s="896">
        <v>171139.33</v>
      </c>
      <c r="H22" s="896">
        <v>492047</v>
      </c>
      <c r="I22" s="897">
        <v>246928.67</v>
      </c>
      <c r="J22" s="896">
        <v>244384.97</v>
      </c>
      <c r="K22" s="896">
        <v>169244.66</v>
      </c>
      <c r="L22" s="896">
        <v>146834.04999999999</v>
      </c>
      <c r="M22" s="896">
        <v>129951.14</v>
      </c>
      <c r="N22" s="896">
        <v>163771.07999999999</v>
      </c>
      <c r="O22" s="896">
        <v>166411.48000000001</v>
      </c>
      <c r="P22" s="896">
        <f t="shared" si="0"/>
        <v>2155838.3709268682</v>
      </c>
      <c r="R22" s="78">
        <f t="shared" si="1"/>
        <v>6.4306366462963309</v>
      </c>
    </row>
    <row r="23" spans="1:18" ht="24.95" customHeight="1" x14ac:dyDescent="0.25">
      <c r="A23" s="894">
        <v>17</v>
      </c>
      <c r="B23" s="895" t="s">
        <v>162</v>
      </c>
      <c r="C23" s="896">
        <v>246212.34</v>
      </c>
      <c r="D23" s="896">
        <v>46110.35</v>
      </c>
      <c r="E23" s="896">
        <v>32998.339999999997</v>
      </c>
      <c r="F23" s="896">
        <v>-192584.251344616</v>
      </c>
      <c r="G23" s="896">
        <v>102733.42</v>
      </c>
      <c r="H23" s="896">
        <v>295371.43</v>
      </c>
      <c r="I23" s="897">
        <v>148229.07999999999</v>
      </c>
      <c r="J23" s="896">
        <v>146702.12</v>
      </c>
      <c r="K23" s="896">
        <v>101596.06</v>
      </c>
      <c r="L23" s="896">
        <v>88143.17</v>
      </c>
      <c r="M23" s="896">
        <v>78008.509999999995</v>
      </c>
      <c r="N23" s="896">
        <v>98310.32</v>
      </c>
      <c r="O23" s="896">
        <v>99895.33</v>
      </c>
      <c r="P23" s="896">
        <f t="shared" si="0"/>
        <v>1291726.2186553841</v>
      </c>
      <c r="R23" s="78">
        <f t="shared" si="1"/>
        <v>3.8530819706561781</v>
      </c>
    </row>
    <row r="24" spans="1:18" ht="24.95" customHeight="1" x14ac:dyDescent="0.25">
      <c r="A24" s="894">
        <v>18</v>
      </c>
      <c r="B24" s="895" t="s">
        <v>163</v>
      </c>
      <c r="C24" s="896">
        <v>1393091.72</v>
      </c>
      <c r="D24" s="896">
        <v>270498.38</v>
      </c>
      <c r="E24" s="896">
        <v>193579.03</v>
      </c>
      <c r="F24" s="896">
        <v>-1129762.0709132659</v>
      </c>
      <c r="G24" s="896">
        <v>602667.74</v>
      </c>
      <c r="H24" s="896">
        <v>1732745.21</v>
      </c>
      <c r="I24" s="897">
        <v>869560.17</v>
      </c>
      <c r="J24" s="896">
        <v>860602.51</v>
      </c>
      <c r="K24" s="896">
        <v>595995.67000000004</v>
      </c>
      <c r="L24" s="896">
        <v>517076.61</v>
      </c>
      <c r="M24" s="896">
        <v>457623.37</v>
      </c>
      <c r="N24" s="896">
        <v>576720.43000000005</v>
      </c>
      <c r="O24" s="896">
        <v>586018.61</v>
      </c>
      <c r="P24" s="896">
        <f t="shared" si="0"/>
        <v>7526417.3790867347</v>
      </c>
      <c r="R24" s="78">
        <f t="shared" si="1"/>
        <v>22.450502814117783</v>
      </c>
    </row>
    <row r="25" spans="1:18" ht="24.95" customHeight="1" x14ac:dyDescent="0.25">
      <c r="A25" s="894">
        <v>19</v>
      </c>
      <c r="B25" s="895" t="s">
        <v>164</v>
      </c>
      <c r="C25" s="896">
        <v>226548.89</v>
      </c>
      <c r="D25" s="896">
        <v>43551.01</v>
      </c>
      <c r="E25" s="896">
        <v>31166.78</v>
      </c>
      <c r="F25" s="896">
        <v>-181894.92614951599</v>
      </c>
      <c r="G25" s="896">
        <v>97031.23</v>
      </c>
      <c r="H25" s="896">
        <v>278976.94</v>
      </c>
      <c r="I25" s="897">
        <v>140001.68</v>
      </c>
      <c r="J25" s="896">
        <v>138559.47</v>
      </c>
      <c r="K25" s="896">
        <v>95957.01</v>
      </c>
      <c r="L25" s="896">
        <v>83250.81</v>
      </c>
      <c r="M25" s="896">
        <v>73678.67</v>
      </c>
      <c r="N25" s="896">
        <v>92853.64</v>
      </c>
      <c r="O25" s="896">
        <v>94350.67</v>
      </c>
      <c r="P25" s="896">
        <f t="shared" si="0"/>
        <v>1214031.8738504841</v>
      </c>
      <c r="R25" s="78">
        <f t="shared" si="1"/>
        <v>3.6213280007620585</v>
      </c>
    </row>
    <row r="26" spans="1:18" ht="24.95" customHeight="1" x14ac:dyDescent="0.25">
      <c r="A26" s="894">
        <v>20</v>
      </c>
      <c r="B26" s="895" t="s">
        <v>165</v>
      </c>
      <c r="C26" s="896">
        <v>303271.74</v>
      </c>
      <c r="D26" s="896">
        <v>62509.89</v>
      </c>
      <c r="E26" s="896">
        <v>44734.49</v>
      </c>
      <c r="F26" s="896">
        <v>-261078.42986346598</v>
      </c>
      <c r="G26" s="896">
        <v>139271.43</v>
      </c>
      <c r="H26" s="896">
        <v>400422.69</v>
      </c>
      <c r="I26" s="897">
        <v>200947.96</v>
      </c>
      <c r="J26" s="896">
        <v>198877.92</v>
      </c>
      <c r="K26" s="896">
        <v>137729.54999999999</v>
      </c>
      <c r="L26" s="896">
        <v>119492.02</v>
      </c>
      <c r="M26" s="896">
        <v>105752.86</v>
      </c>
      <c r="N26" s="896">
        <v>133275.21</v>
      </c>
      <c r="O26" s="896">
        <v>135423.95000000001</v>
      </c>
      <c r="P26" s="896">
        <f t="shared" si="0"/>
        <v>1720631.280136534</v>
      </c>
      <c r="R26" s="78">
        <f t="shared" si="1"/>
        <v>5.1324601667854397</v>
      </c>
    </row>
    <row r="27" spans="1:18" ht="24.95" customHeight="1" x14ac:dyDescent="0.25">
      <c r="A27" s="1241" t="s">
        <v>168</v>
      </c>
      <c r="B27" s="1242"/>
      <c r="C27" s="899">
        <f>SUM(C7:C26)</f>
        <v>6132044.9999999991</v>
      </c>
      <c r="D27" s="899">
        <f t="shared" ref="D27:P27" si="2">SUM(D7:D26)</f>
        <v>1208090.5999999999</v>
      </c>
      <c r="E27" s="899">
        <f t="shared" si="2"/>
        <v>864555.99999999988</v>
      </c>
      <c r="F27" s="899">
        <f t="shared" si="2"/>
        <v>-5045704.6000000006</v>
      </c>
      <c r="G27" s="899">
        <f t="shared" si="2"/>
        <v>2691614</v>
      </c>
      <c r="H27" s="899">
        <f t="shared" si="2"/>
        <v>7738727.2000000002</v>
      </c>
      <c r="I27" s="899">
        <f t="shared" si="2"/>
        <v>3883599.7999999993</v>
      </c>
      <c r="J27" s="899">
        <f t="shared" si="2"/>
        <v>3843593.4000000008</v>
      </c>
      <c r="K27" s="899">
        <f t="shared" si="2"/>
        <v>2661815.3999999994</v>
      </c>
      <c r="L27" s="899">
        <f t="shared" si="2"/>
        <v>2309349.8000000003</v>
      </c>
      <c r="M27" s="899">
        <f t="shared" si="2"/>
        <v>2043821.8</v>
      </c>
      <c r="N27" s="899">
        <f t="shared" si="2"/>
        <v>2575729</v>
      </c>
      <c r="O27" s="899">
        <f t="shared" si="2"/>
        <v>2617256.1999999997</v>
      </c>
      <c r="P27" s="900">
        <f t="shared" si="2"/>
        <v>33524493.599999998</v>
      </c>
      <c r="R27" s="78">
        <f>SUM(R7:R26)</f>
        <v>100.00000000000001</v>
      </c>
    </row>
    <row r="28" spans="1:18" x14ac:dyDescent="0.25">
      <c r="I28" s="901"/>
    </row>
    <row r="29" spans="1:18" x14ac:dyDescent="0.25">
      <c r="I29" s="123"/>
    </row>
  </sheetData>
  <mergeCells count="18">
    <mergeCell ref="A1:P2"/>
    <mergeCell ref="B4:B6"/>
    <mergeCell ref="C4:C6"/>
    <mergeCell ref="D4:D6"/>
    <mergeCell ref="E4:E6"/>
    <mergeCell ref="F4:F6"/>
    <mergeCell ref="G4:G6"/>
    <mergeCell ref="H4:H6"/>
    <mergeCell ref="I4:I6"/>
    <mergeCell ref="J4:J6"/>
    <mergeCell ref="R4:R6"/>
    <mergeCell ref="A27:B27"/>
    <mergeCell ref="K4:K6"/>
    <mergeCell ref="L4:L6"/>
    <mergeCell ref="M4:M6"/>
    <mergeCell ref="N4:N6"/>
    <mergeCell ref="O4:O6"/>
    <mergeCell ref="P4:P6"/>
  </mergeCells>
  <pageMargins left="0.70866141732283472" right="0.70866141732283472" top="0.74803149606299213" bottom="0.74803149606299213" header="0.31496062992125984" footer="0.31496062992125984"/>
  <pageSetup scale="52"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tabColor rgb="FF00B050"/>
  </sheetPr>
  <dimension ref="A1:R195"/>
  <sheetViews>
    <sheetView workbookViewId="0">
      <selection activeCell="A5" sqref="A5:M5"/>
    </sheetView>
  </sheetViews>
  <sheetFormatPr baseColWidth="10" defaultRowHeight="12.75" x14ac:dyDescent="0.2"/>
  <cols>
    <col min="1" max="1" width="18" style="640" customWidth="1"/>
    <col min="2" max="2" width="13.7109375" style="761" bestFit="1" customWidth="1"/>
    <col min="3" max="3" width="18.42578125" style="761" bestFit="1" customWidth="1"/>
    <col min="4" max="13" width="13.7109375" style="761" bestFit="1" customWidth="1"/>
    <col min="14" max="14" width="15.28515625" style="640" bestFit="1" customWidth="1"/>
    <col min="15" max="15" width="11.7109375" style="640" bestFit="1" customWidth="1"/>
    <col min="16" max="16" width="17.85546875" style="640" bestFit="1" customWidth="1"/>
    <col min="17" max="17" width="11.42578125" style="640"/>
    <col min="18" max="18" width="15.28515625" style="640" bestFit="1" customWidth="1"/>
    <col min="19" max="256" width="11.42578125" style="640"/>
    <col min="257" max="257" width="18" style="640" customWidth="1"/>
    <col min="258" max="258" width="13.7109375" style="640" bestFit="1" customWidth="1"/>
    <col min="259" max="259" width="18.42578125" style="640" bestFit="1" customWidth="1"/>
    <col min="260" max="269" width="13.7109375" style="640" bestFit="1" customWidth="1"/>
    <col min="270" max="270" width="15.28515625" style="640" bestFit="1" customWidth="1"/>
    <col min="271" max="271" width="11.42578125" style="640"/>
    <col min="272" max="272" width="13.7109375" style="640" bestFit="1" customWidth="1"/>
    <col min="273" max="512" width="11.42578125" style="640"/>
    <col min="513" max="513" width="18" style="640" customWidth="1"/>
    <col min="514" max="514" width="13.7109375" style="640" bestFit="1" customWidth="1"/>
    <col min="515" max="515" width="18.42578125" style="640" bestFit="1" customWidth="1"/>
    <col min="516" max="525" width="13.7109375" style="640" bestFit="1" customWidth="1"/>
    <col min="526" max="526" width="15.28515625" style="640" bestFit="1" customWidth="1"/>
    <col min="527" max="527" width="11.42578125" style="640"/>
    <col min="528" max="528" width="13.7109375" style="640" bestFit="1" customWidth="1"/>
    <col min="529" max="768" width="11.42578125" style="640"/>
    <col min="769" max="769" width="18" style="640" customWidth="1"/>
    <col min="770" max="770" width="13.7109375" style="640" bestFit="1" customWidth="1"/>
    <col min="771" max="771" width="18.42578125" style="640" bestFit="1" customWidth="1"/>
    <col min="772" max="781" width="13.7109375" style="640" bestFit="1" customWidth="1"/>
    <col min="782" max="782" width="15.28515625" style="640" bestFit="1" customWidth="1"/>
    <col min="783" max="783" width="11.42578125" style="640"/>
    <col min="784" max="784" width="13.7109375" style="640" bestFit="1" customWidth="1"/>
    <col min="785" max="1024" width="11.42578125" style="640"/>
    <col min="1025" max="1025" width="18" style="640" customWidth="1"/>
    <col min="1026" max="1026" width="13.7109375" style="640" bestFit="1" customWidth="1"/>
    <col min="1027" max="1027" width="18.42578125" style="640" bestFit="1" customWidth="1"/>
    <col min="1028" max="1037" width="13.7109375" style="640" bestFit="1" customWidth="1"/>
    <col min="1038" max="1038" width="15.28515625" style="640" bestFit="1" customWidth="1"/>
    <col min="1039" max="1039" width="11.42578125" style="640"/>
    <col min="1040" max="1040" width="13.7109375" style="640" bestFit="1" customWidth="1"/>
    <col min="1041" max="1280" width="11.42578125" style="640"/>
    <col min="1281" max="1281" width="18" style="640" customWidth="1"/>
    <col min="1282" max="1282" width="13.7109375" style="640" bestFit="1" customWidth="1"/>
    <col min="1283" max="1283" width="18.42578125" style="640" bestFit="1" customWidth="1"/>
    <col min="1284" max="1293" width="13.7109375" style="640" bestFit="1" customWidth="1"/>
    <col min="1294" max="1294" width="15.28515625" style="640" bestFit="1" customWidth="1"/>
    <col min="1295" max="1295" width="11.42578125" style="640"/>
    <col min="1296" max="1296" width="13.7109375" style="640" bestFit="1" customWidth="1"/>
    <col min="1297" max="1536" width="11.42578125" style="640"/>
    <col min="1537" max="1537" width="18" style="640" customWidth="1"/>
    <col min="1538" max="1538" width="13.7109375" style="640" bestFit="1" customWidth="1"/>
    <col min="1539" max="1539" width="18.42578125" style="640" bestFit="1" customWidth="1"/>
    <col min="1540" max="1549" width="13.7109375" style="640" bestFit="1" customWidth="1"/>
    <col min="1550" max="1550" width="15.28515625" style="640" bestFit="1" customWidth="1"/>
    <col min="1551" max="1551" width="11.42578125" style="640"/>
    <col min="1552" max="1552" width="13.7109375" style="640" bestFit="1" customWidth="1"/>
    <col min="1553" max="1792" width="11.42578125" style="640"/>
    <col min="1793" max="1793" width="18" style="640" customWidth="1"/>
    <col min="1794" max="1794" width="13.7109375" style="640" bestFit="1" customWidth="1"/>
    <col min="1795" max="1795" width="18.42578125" style="640" bestFit="1" customWidth="1"/>
    <col min="1796" max="1805" width="13.7109375" style="640" bestFit="1" customWidth="1"/>
    <col min="1806" max="1806" width="15.28515625" style="640" bestFit="1" customWidth="1"/>
    <col min="1807" max="1807" width="11.42578125" style="640"/>
    <col min="1808" max="1808" width="13.7109375" style="640" bestFit="1" customWidth="1"/>
    <col min="1809" max="2048" width="11.42578125" style="640"/>
    <col min="2049" max="2049" width="18" style="640" customWidth="1"/>
    <col min="2050" max="2050" width="13.7109375" style="640" bestFit="1" customWidth="1"/>
    <col min="2051" max="2051" width="18.42578125" style="640" bestFit="1" customWidth="1"/>
    <col min="2052" max="2061" width="13.7109375" style="640" bestFit="1" customWidth="1"/>
    <col min="2062" max="2062" width="15.28515625" style="640" bestFit="1" customWidth="1"/>
    <col min="2063" max="2063" width="11.42578125" style="640"/>
    <col min="2064" max="2064" width="13.7109375" style="640" bestFit="1" customWidth="1"/>
    <col min="2065" max="2304" width="11.42578125" style="640"/>
    <col min="2305" max="2305" width="18" style="640" customWidth="1"/>
    <col min="2306" max="2306" width="13.7109375" style="640" bestFit="1" customWidth="1"/>
    <col min="2307" max="2307" width="18.42578125" style="640" bestFit="1" customWidth="1"/>
    <col min="2308" max="2317" width="13.7109375" style="640" bestFit="1" customWidth="1"/>
    <col min="2318" max="2318" width="15.28515625" style="640" bestFit="1" customWidth="1"/>
    <col min="2319" max="2319" width="11.42578125" style="640"/>
    <col min="2320" max="2320" width="13.7109375" style="640" bestFit="1" customWidth="1"/>
    <col min="2321" max="2560" width="11.42578125" style="640"/>
    <col min="2561" max="2561" width="18" style="640" customWidth="1"/>
    <col min="2562" max="2562" width="13.7109375" style="640" bestFit="1" customWidth="1"/>
    <col min="2563" max="2563" width="18.42578125" style="640" bestFit="1" customWidth="1"/>
    <col min="2564" max="2573" width="13.7109375" style="640" bestFit="1" customWidth="1"/>
    <col min="2574" max="2574" width="15.28515625" style="640" bestFit="1" customWidth="1"/>
    <col min="2575" max="2575" width="11.42578125" style="640"/>
    <col min="2576" max="2576" width="13.7109375" style="640" bestFit="1" customWidth="1"/>
    <col min="2577" max="2816" width="11.42578125" style="640"/>
    <col min="2817" max="2817" width="18" style="640" customWidth="1"/>
    <col min="2818" max="2818" width="13.7109375" style="640" bestFit="1" customWidth="1"/>
    <col min="2819" max="2819" width="18.42578125" style="640" bestFit="1" customWidth="1"/>
    <col min="2820" max="2829" width="13.7109375" style="640" bestFit="1" customWidth="1"/>
    <col min="2830" max="2830" width="15.28515625" style="640" bestFit="1" customWidth="1"/>
    <col min="2831" max="2831" width="11.42578125" style="640"/>
    <col min="2832" max="2832" width="13.7109375" style="640" bestFit="1" customWidth="1"/>
    <col min="2833" max="3072" width="11.42578125" style="640"/>
    <col min="3073" max="3073" width="18" style="640" customWidth="1"/>
    <col min="3074" max="3074" width="13.7109375" style="640" bestFit="1" customWidth="1"/>
    <col min="3075" max="3075" width="18.42578125" style="640" bestFit="1" customWidth="1"/>
    <col min="3076" max="3085" width="13.7109375" style="640" bestFit="1" customWidth="1"/>
    <col min="3086" max="3086" width="15.28515625" style="640" bestFit="1" customWidth="1"/>
    <col min="3087" max="3087" width="11.42578125" style="640"/>
    <col min="3088" max="3088" width="13.7109375" style="640" bestFit="1" customWidth="1"/>
    <col min="3089" max="3328" width="11.42578125" style="640"/>
    <col min="3329" max="3329" width="18" style="640" customWidth="1"/>
    <col min="3330" max="3330" width="13.7109375" style="640" bestFit="1" customWidth="1"/>
    <col min="3331" max="3331" width="18.42578125" style="640" bestFit="1" customWidth="1"/>
    <col min="3332" max="3341" width="13.7109375" style="640" bestFit="1" customWidth="1"/>
    <col min="3342" max="3342" width="15.28515625" style="640" bestFit="1" customWidth="1"/>
    <col min="3343" max="3343" width="11.42578125" style="640"/>
    <col min="3344" max="3344" width="13.7109375" style="640" bestFit="1" customWidth="1"/>
    <col min="3345" max="3584" width="11.42578125" style="640"/>
    <col min="3585" max="3585" width="18" style="640" customWidth="1"/>
    <col min="3586" max="3586" width="13.7109375" style="640" bestFit="1" customWidth="1"/>
    <col min="3587" max="3587" width="18.42578125" style="640" bestFit="1" customWidth="1"/>
    <col min="3588" max="3597" width="13.7109375" style="640" bestFit="1" customWidth="1"/>
    <col min="3598" max="3598" width="15.28515625" style="640" bestFit="1" customWidth="1"/>
    <col min="3599" max="3599" width="11.42578125" style="640"/>
    <col min="3600" max="3600" width="13.7109375" style="640" bestFit="1" customWidth="1"/>
    <col min="3601" max="3840" width="11.42578125" style="640"/>
    <col min="3841" max="3841" width="18" style="640" customWidth="1"/>
    <col min="3842" max="3842" width="13.7109375" style="640" bestFit="1" customWidth="1"/>
    <col min="3843" max="3843" width="18.42578125" style="640" bestFit="1" customWidth="1"/>
    <col min="3844" max="3853" width="13.7109375" style="640" bestFit="1" customWidth="1"/>
    <col min="3854" max="3854" width="15.28515625" style="640" bestFit="1" customWidth="1"/>
    <col min="3855" max="3855" width="11.42578125" style="640"/>
    <col min="3856" max="3856" width="13.7109375" style="640" bestFit="1" customWidth="1"/>
    <col min="3857" max="4096" width="11.42578125" style="640"/>
    <col min="4097" max="4097" width="18" style="640" customWidth="1"/>
    <col min="4098" max="4098" width="13.7109375" style="640" bestFit="1" customWidth="1"/>
    <col min="4099" max="4099" width="18.42578125" style="640" bestFit="1" customWidth="1"/>
    <col min="4100" max="4109" width="13.7109375" style="640" bestFit="1" customWidth="1"/>
    <col min="4110" max="4110" width="15.28515625" style="640" bestFit="1" customWidth="1"/>
    <col min="4111" max="4111" width="11.42578125" style="640"/>
    <col min="4112" max="4112" width="13.7109375" style="640" bestFit="1" customWidth="1"/>
    <col min="4113" max="4352" width="11.42578125" style="640"/>
    <col min="4353" max="4353" width="18" style="640" customWidth="1"/>
    <col min="4354" max="4354" width="13.7109375" style="640" bestFit="1" customWidth="1"/>
    <col min="4355" max="4355" width="18.42578125" style="640" bestFit="1" customWidth="1"/>
    <col min="4356" max="4365" width="13.7109375" style="640" bestFit="1" customWidth="1"/>
    <col min="4366" max="4366" width="15.28515625" style="640" bestFit="1" customWidth="1"/>
    <col min="4367" max="4367" width="11.42578125" style="640"/>
    <col min="4368" max="4368" width="13.7109375" style="640" bestFit="1" customWidth="1"/>
    <col min="4369" max="4608" width="11.42578125" style="640"/>
    <col min="4609" max="4609" width="18" style="640" customWidth="1"/>
    <col min="4610" max="4610" width="13.7109375" style="640" bestFit="1" customWidth="1"/>
    <col min="4611" max="4611" width="18.42578125" style="640" bestFit="1" customWidth="1"/>
    <col min="4612" max="4621" width="13.7109375" style="640" bestFit="1" customWidth="1"/>
    <col min="4622" max="4622" width="15.28515625" style="640" bestFit="1" customWidth="1"/>
    <col min="4623" max="4623" width="11.42578125" style="640"/>
    <col min="4624" max="4624" width="13.7109375" style="640" bestFit="1" customWidth="1"/>
    <col min="4625" max="4864" width="11.42578125" style="640"/>
    <col min="4865" max="4865" width="18" style="640" customWidth="1"/>
    <col min="4866" max="4866" width="13.7109375" style="640" bestFit="1" customWidth="1"/>
    <col min="4867" max="4867" width="18.42578125" style="640" bestFit="1" customWidth="1"/>
    <col min="4868" max="4877" width="13.7109375" style="640" bestFit="1" customWidth="1"/>
    <col min="4878" max="4878" width="15.28515625" style="640" bestFit="1" customWidth="1"/>
    <col min="4879" max="4879" width="11.42578125" style="640"/>
    <col min="4880" max="4880" width="13.7109375" style="640" bestFit="1" customWidth="1"/>
    <col min="4881" max="5120" width="11.42578125" style="640"/>
    <col min="5121" max="5121" width="18" style="640" customWidth="1"/>
    <col min="5122" max="5122" width="13.7109375" style="640" bestFit="1" customWidth="1"/>
    <col min="5123" max="5123" width="18.42578125" style="640" bestFit="1" customWidth="1"/>
    <col min="5124" max="5133" width="13.7109375" style="640" bestFit="1" customWidth="1"/>
    <col min="5134" max="5134" width="15.28515625" style="640" bestFit="1" customWidth="1"/>
    <col min="5135" max="5135" width="11.42578125" style="640"/>
    <col min="5136" max="5136" width="13.7109375" style="640" bestFit="1" customWidth="1"/>
    <col min="5137" max="5376" width="11.42578125" style="640"/>
    <col min="5377" max="5377" width="18" style="640" customWidth="1"/>
    <col min="5378" max="5378" width="13.7109375" style="640" bestFit="1" customWidth="1"/>
    <col min="5379" max="5379" width="18.42578125" style="640" bestFit="1" customWidth="1"/>
    <col min="5380" max="5389" width="13.7109375" style="640" bestFit="1" customWidth="1"/>
    <col min="5390" max="5390" width="15.28515625" style="640" bestFit="1" customWidth="1"/>
    <col min="5391" max="5391" width="11.42578125" style="640"/>
    <col min="5392" max="5392" width="13.7109375" style="640" bestFit="1" customWidth="1"/>
    <col min="5393" max="5632" width="11.42578125" style="640"/>
    <col min="5633" max="5633" width="18" style="640" customWidth="1"/>
    <col min="5634" max="5634" width="13.7109375" style="640" bestFit="1" customWidth="1"/>
    <col min="5635" max="5635" width="18.42578125" style="640" bestFit="1" customWidth="1"/>
    <col min="5636" max="5645" width="13.7109375" style="640" bestFit="1" customWidth="1"/>
    <col min="5646" max="5646" width="15.28515625" style="640" bestFit="1" customWidth="1"/>
    <col min="5647" max="5647" width="11.42578125" style="640"/>
    <col min="5648" max="5648" width="13.7109375" style="640" bestFit="1" customWidth="1"/>
    <col min="5649" max="5888" width="11.42578125" style="640"/>
    <col min="5889" max="5889" width="18" style="640" customWidth="1"/>
    <col min="5890" max="5890" width="13.7109375" style="640" bestFit="1" customWidth="1"/>
    <col min="5891" max="5891" width="18.42578125" style="640" bestFit="1" customWidth="1"/>
    <col min="5892" max="5901" width="13.7109375" style="640" bestFit="1" customWidth="1"/>
    <col min="5902" max="5902" width="15.28515625" style="640" bestFit="1" customWidth="1"/>
    <col min="5903" max="5903" width="11.42578125" style="640"/>
    <col min="5904" max="5904" width="13.7109375" style="640" bestFit="1" customWidth="1"/>
    <col min="5905" max="6144" width="11.42578125" style="640"/>
    <col min="6145" max="6145" width="18" style="640" customWidth="1"/>
    <col min="6146" max="6146" width="13.7109375" style="640" bestFit="1" customWidth="1"/>
    <col min="6147" max="6147" width="18.42578125" style="640" bestFit="1" customWidth="1"/>
    <col min="6148" max="6157" width="13.7109375" style="640" bestFit="1" customWidth="1"/>
    <col min="6158" max="6158" width="15.28515625" style="640" bestFit="1" customWidth="1"/>
    <col min="6159" max="6159" width="11.42578125" style="640"/>
    <col min="6160" max="6160" width="13.7109375" style="640" bestFit="1" customWidth="1"/>
    <col min="6161" max="6400" width="11.42578125" style="640"/>
    <col min="6401" max="6401" width="18" style="640" customWidth="1"/>
    <col min="6402" max="6402" width="13.7109375" style="640" bestFit="1" customWidth="1"/>
    <col min="6403" max="6403" width="18.42578125" style="640" bestFit="1" customWidth="1"/>
    <col min="6404" max="6413" width="13.7109375" style="640" bestFit="1" customWidth="1"/>
    <col min="6414" max="6414" width="15.28515625" style="640" bestFit="1" customWidth="1"/>
    <col min="6415" max="6415" width="11.42578125" style="640"/>
    <col min="6416" max="6416" width="13.7109375" style="640" bestFit="1" customWidth="1"/>
    <col min="6417" max="6656" width="11.42578125" style="640"/>
    <col min="6657" max="6657" width="18" style="640" customWidth="1"/>
    <col min="6658" max="6658" width="13.7109375" style="640" bestFit="1" customWidth="1"/>
    <col min="6659" max="6659" width="18.42578125" style="640" bestFit="1" customWidth="1"/>
    <col min="6660" max="6669" width="13.7109375" style="640" bestFit="1" customWidth="1"/>
    <col min="6670" max="6670" width="15.28515625" style="640" bestFit="1" customWidth="1"/>
    <col min="6671" max="6671" width="11.42578125" style="640"/>
    <col min="6672" max="6672" width="13.7109375" style="640" bestFit="1" customWidth="1"/>
    <col min="6673" max="6912" width="11.42578125" style="640"/>
    <col min="6913" max="6913" width="18" style="640" customWidth="1"/>
    <col min="6914" max="6914" width="13.7109375" style="640" bestFit="1" customWidth="1"/>
    <col min="6915" max="6915" width="18.42578125" style="640" bestFit="1" customWidth="1"/>
    <col min="6916" max="6925" width="13.7109375" style="640" bestFit="1" customWidth="1"/>
    <col min="6926" max="6926" width="15.28515625" style="640" bestFit="1" customWidth="1"/>
    <col min="6927" max="6927" width="11.42578125" style="640"/>
    <col min="6928" max="6928" width="13.7109375" style="640" bestFit="1" customWidth="1"/>
    <col min="6929" max="7168" width="11.42578125" style="640"/>
    <col min="7169" max="7169" width="18" style="640" customWidth="1"/>
    <col min="7170" max="7170" width="13.7109375" style="640" bestFit="1" customWidth="1"/>
    <col min="7171" max="7171" width="18.42578125" style="640" bestFit="1" customWidth="1"/>
    <col min="7172" max="7181" width="13.7109375" style="640" bestFit="1" customWidth="1"/>
    <col min="7182" max="7182" width="15.28515625" style="640" bestFit="1" customWidth="1"/>
    <col min="7183" max="7183" width="11.42578125" style="640"/>
    <col min="7184" max="7184" width="13.7109375" style="640" bestFit="1" customWidth="1"/>
    <col min="7185" max="7424" width="11.42578125" style="640"/>
    <col min="7425" max="7425" width="18" style="640" customWidth="1"/>
    <col min="7426" max="7426" width="13.7109375" style="640" bestFit="1" customWidth="1"/>
    <col min="7427" max="7427" width="18.42578125" style="640" bestFit="1" customWidth="1"/>
    <col min="7428" max="7437" width="13.7109375" style="640" bestFit="1" customWidth="1"/>
    <col min="7438" max="7438" width="15.28515625" style="640" bestFit="1" customWidth="1"/>
    <col min="7439" max="7439" width="11.42578125" style="640"/>
    <col min="7440" max="7440" width="13.7109375" style="640" bestFit="1" customWidth="1"/>
    <col min="7441" max="7680" width="11.42578125" style="640"/>
    <col min="7681" max="7681" width="18" style="640" customWidth="1"/>
    <col min="7682" max="7682" width="13.7109375" style="640" bestFit="1" customWidth="1"/>
    <col min="7683" max="7683" width="18.42578125" style="640" bestFit="1" customWidth="1"/>
    <col min="7684" max="7693" width="13.7109375" style="640" bestFit="1" customWidth="1"/>
    <col min="7694" max="7694" width="15.28515625" style="640" bestFit="1" customWidth="1"/>
    <col min="7695" max="7695" width="11.42578125" style="640"/>
    <col min="7696" max="7696" width="13.7109375" style="640" bestFit="1" customWidth="1"/>
    <col min="7697" max="7936" width="11.42578125" style="640"/>
    <col min="7937" max="7937" width="18" style="640" customWidth="1"/>
    <col min="7938" max="7938" width="13.7109375" style="640" bestFit="1" customWidth="1"/>
    <col min="7939" max="7939" width="18.42578125" style="640" bestFit="1" customWidth="1"/>
    <col min="7940" max="7949" width="13.7109375" style="640" bestFit="1" customWidth="1"/>
    <col min="7950" max="7950" width="15.28515625" style="640" bestFit="1" customWidth="1"/>
    <col min="7951" max="7951" width="11.42578125" style="640"/>
    <col min="7952" max="7952" width="13.7109375" style="640" bestFit="1" customWidth="1"/>
    <col min="7953" max="8192" width="11.42578125" style="640"/>
    <col min="8193" max="8193" width="18" style="640" customWidth="1"/>
    <col min="8194" max="8194" width="13.7109375" style="640" bestFit="1" customWidth="1"/>
    <col min="8195" max="8195" width="18.42578125" style="640" bestFit="1" customWidth="1"/>
    <col min="8196" max="8205" width="13.7109375" style="640" bestFit="1" customWidth="1"/>
    <col min="8206" max="8206" width="15.28515625" style="640" bestFit="1" customWidth="1"/>
    <col min="8207" max="8207" width="11.42578125" style="640"/>
    <col min="8208" max="8208" width="13.7109375" style="640" bestFit="1" customWidth="1"/>
    <col min="8209" max="8448" width="11.42578125" style="640"/>
    <col min="8449" max="8449" width="18" style="640" customWidth="1"/>
    <col min="8450" max="8450" width="13.7109375" style="640" bestFit="1" customWidth="1"/>
    <col min="8451" max="8451" width="18.42578125" style="640" bestFit="1" customWidth="1"/>
    <col min="8452" max="8461" width="13.7109375" style="640" bestFit="1" customWidth="1"/>
    <col min="8462" max="8462" width="15.28515625" style="640" bestFit="1" customWidth="1"/>
    <col min="8463" max="8463" width="11.42578125" style="640"/>
    <col min="8464" max="8464" width="13.7109375" style="640" bestFit="1" customWidth="1"/>
    <col min="8465" max="8704" width="11.42578125" style="640"/>
    <col min="8705" max="8705" width="18" style="640" customWidth="1"/>
    <col min="8706" max="8706" width="13.7109375" style="640" bestFit="1" customWidth="1"/>
    <col min="8707" max="8707" width="18.42578125" style="640" bestFit="1" customWidth="1"/>
    <col min="8708" max="8717" width="13.7109375" style="640" bestFit="1" customWidth="1"/>
    <col min="8718" max="8718" width="15.28515625" style="640" bestFit="1" customWidth="1"/>
    <col min="8719" max="8719" width="11.42578125" style="640"/>
    <col min="8720" max="8720" width="13.7109375" style="640" bestFit="1" customWidth="1"/>
    <col min="8721" max="8960" width="11.42578125" style="640"/>
    <col min="8961" max="8961" width="18" style="640" customWidth="1"/>
    <col min="8962" max="8962" width="13.7109375" style="640" bestFit="1" customWidth="1"/>
    <col min="8963" max="8963" width="18.42578125" style="640" bestFit="1" customWidth="1"/>
    <col min="8964" max="8973" width="13.7109375" style="640" bestFit="1" customWidth="1"/>
    <col min="8974" max="8974" width="15.28515625" style="640" bestFit="1" customWidth="1"/>
    <col min="8975" max="8975" width="11.42578125" style="640"/>
    <col min="8976" max="8976" width="13.7109375" style="640" bestFit="1" customWidth="1"/>
    <col min="8977" max="9216" width="11.42578125" style="640"/>
    <col min="9217" max="9217" width="18" style="640" customWidth="1"/>
    <col min="9218" max="9218" width="13.7109375" style="640" bestFit="1" customWidth="1"/>
    <col min="9219" max="9219" width="18.42578125" style="640" bestFit="1" customWidth="1"/>
    <col min="9220" max="9229" width="13.7109375" style="640" bestFit="1" customWidth="1"/>
    <col min="9230" max="9230" width="15.28515625" style="640" bestFit="1" customWidth="1"/>
    <col min="9231" max="9231" width="11.42578125" style="640"/>
    <col min="9232" max="9232" width="13.7109375" style="640" bestFit="1" customWidth="1"/>
    <col min="9233" max="9472" width="11.42578125" style="640"/>
    <col min="9473" max="9473" width="18" style="640" customWidth="1"/>
    <col min="9474" max="9474" width="13.7109375" style="640" bestFit="1" customWidth="1"/>
    <col min="9475" max="9475" width="18.42578125" style="640" bestFit="1" customWidth="1"/>
    <col min="9476" max="9485" width="13.7109375" style="640" bestFit="1" customWidth="1"/>
    <col min="9486" max="9486" width="15.28515625" style="640" bestFit="1" customWidth="1"/>
    <col min="9487" max="9487" width="11.42578125" style="640"/>
    <col min="9488" max="9488" width="13.7109375" style="640" bestFit="1" customWidth="1"/>
    <col min="9489" max="9728" width="11.42578125" style="640"/>
    <col min="9729" max="9729" width="18" style="640" customWidth="1"/>
    <col min="9730" max="9730" width="13.7109375" style="640" bestFit="1" customWidth="1"/>
    <col min="9731" max="9731" width="18.42578125" style="640" bestFit="1" customWidth="1"/>
    <col min="9732" max="9741" width="13.7109375" style="640" bestFit="1" customWidth="1"/>
    <col min="9742" max="9742" width="15.28515625" style="640" bestFit="1" customWidth="1"/>
    <col min="9743" max="9743" width="11.42578125" style="640"/>
    <col min="9744" max="9744" width="13.7109375" style="640" bestFit="1" customWidth="1"/>
    <col min="9745" max="9984" width="11.42578125" style="640"/>
    <col min="9985" max="9985" width="18" style="640" customWidth="1"/>
    <col min="9986" max="9986" width="13.7109375" style="640" bestFit="1" customWidth="1"/>
    <col min="9987" max="9987" width="18.42578125" style="640" bestFit="1" customWidth="1"/>
    <col min="9988" max="9997" width="13.7109375" style="640" bestFit="1" customWidth="1"/>
    <col min="9998" max="9998" width="15.28515625" style="640" bestFit="1" customWidth="1"/>
    <col min="9999" max="9999" width="11.42578125" style="640"/>
    <col min="10000" max="10000" width="13.7109375" style="640" bestFit="1" customWidth="1"/>
    <col min="10001" max="10240" width="11.42578125" style="640"/>
    <col min="10241" max="10241" width="18" style="640" customWidth="1"/>
    <col min="10242" max="10242" width="13.7109375" style="640" bestFit="1" customWidth="1"/>
    <col min="10243" max="10243" width="18.42578125" style="640" bestFit="1" customWidth="1"/>
    <col min="10244" max="10253" width="13.7109375" style="640" bestFit="1" customWidth="1"/>
    <col min="10254" max="10254" width="15.28515625" style="640" bestFit="1" customWidth="1"/>
    <col min="10255" max="10255" width="11.42578125" style="640"/>
    <col min="10256" max="10256" width="13.7109375" style="640" bestFit="1" customWidth="1"/>
    <col min="10257" max="10496" width="11.42578125" style="640"/>
    <col min="10497" max="10497" width="18" style="640" customWidth="1"/>
    <col min="10498" max="10498" width="13.7109375" style="640" bestFit="1" customWidth="1"/>
    <col min="10499" max="10499" width="18.42578125" style="640" bestFit="1" customWidth="1"/>
    <col min="10500" max="10509" width="13.7109375" style="640" bestFit="1" customWidth="1"/>
    <col min="10510" max="10510" width="15.28515625" style="640" bestFit="1" customWidth="1"/>
    <col min="10511" max="10511" width="11.42578125" style="640"/>
    <col min="10512" max="10512" width="13.7109375" style="640" bestFit="1" customWidth="1"/>
    <col min="10513" max="10752" width="11.42578125" style="640"/>
    <col min="10753" max="10753" width="18" style="640" customWidth="1"/>
    <col min="10754" max="10754" width="13.7109375" style="640" bestFit="1" customWidth="1"/>
    <col min="10755" max="10755" width="18.42578125" style="640" bestFit="1" customWidth="1"/>
    <col min="10756" max="10765" width="13.7109375" style="640" bestFit="1" customWidth="1"/>
    <col min="10766" max="10766" width="15.28515625" style="640" bestFit="1" customWidth="1"/>
    <col min="10767" max="10767" width="11.42578125" style="640"/>
    <col min="10768" max="10768" width="13.7109375" style="640" bestFit="1" customWidth="1"/>
    <col min="10769" max="11008" width="11.42578125" style="640"/>
    <col min="11009" max="11009" width="18" style="640" customWidth="1"/>
    <col min="11010" max="11010" width="13.7109375" style="640" bestFit="1" customWidth="1"/>
    <col min="11011" max="11011" width="18.42578125" style="640" bestFit="1" customWidth="1"/>
    <col min="11012" max="11021" width="13.7109375" style="640" bestFit="1" customWidth="1"/>
    <col min="11022" max="11022" width="15.28515625" style="640" bestFit="1" customWidth="1"/>
    <col min="11023" max="11023" width="11.42578125" style="640"/>
    <col min="11024" max="11024" width="13.7109375" style="640" bestFit="1" customWidth="1"/>
    <col min="11025" max="11264" width="11.42578125" style="640"/>
    <col min="11265" max="11265" width="18" style="640" customWidth="1"/>
    <col min="11266" max="11266" width="13.7109375" style="640" bestFit="1" customWidth="1"/>
    <col min="11267" max="11267" width="18.42578125" style="640" bestFit="1" customWidth="1"/>
    <col min="11268" max="11277" width="13.7109375" style="640" bestFit="1" customWidth="1"/>
    <col min="11278" max="11278" width="15.28515625" style="640" bestFit="1" customWidth="1"/>
    <col min="11279" max="11279" width="11.42578125" style="640"/>
    <col min="11280" max="11280" width="13.7109375" style="640" bestFit="1" customWidth="1"/>
    <col min="11281" max="11520" width="11.42578125" style="640"/>
    <col min="11521" max="11521" width="18" style="640" customWidth="1"/>
    <col min="11522" max="11522" width="13.7109375" style="640" bestFit="1" customWidth="1"/>
    <col min="11523" max="11523" width="18.42578125" style="640" bestFit="1" customWidth="1"/>
    <col min="11524" max="11533" width="13.7109375" style="640" bestFit="1" customWidth="1"/>
    <col min="11534" max="11534" width="15.28515625" style="640" bestFit="1" customWidth="1"/>
    <col min="11535" max="11535" width="11.42578125" style="640"/>
    <col min="11536" max="11536" width="13.7109375" style="640" bestFit="1" customWidth="1"/>
    <col min="11537" max="11776" width="11.42578125" style="640"/>
    <col min="11777" max="11777" width="18" style="640" customWidth="1"/>
    <col min="11778" max="11778" width="13.7109375" style="640" bestFit="1" customWidth="1"/>
    <col min="11779" max="11779" width="18.42578125" style="640" bestFit="1" customWidth="1"/>
    <col min="11780" max="11789" width="13.7109375" style="640" bestFit="1" customWidth="1"/>
    <col min="11790" max="11790" width="15.28515625" style="640" bestFit="1" customWidth="1"/>
    <col min="11791" max="11791" width="11.42578125" style="640"/>
    <col min="11792" max="11792" width="13.7109375" style="640" bestFit="1" customWidth="1"/>
    <col min="11793" max="12032" width="11.42578125" style="640"/>
    <col min="12033" max="12033" width="18" style="640" customWidth="1"/>
    <col min="12034" max="12034" width="13.7109375" style="640" bestFit="1" customWidth="1"/>
    <col min="12035" max="12035" width="18.42578125" style="640" bestFit="1" customWidth="1"/>
    <col min="12036" max="12045" width="13.7109375" style="640" bestFit="1" customWidth="1"/>
    <col min="12046" max="12046" width="15.28515625" style="640" bestFit="1" customWidth="1"/>
    <col min="12047" max="12047" width="11.42578125" style="640"/>
    <col min="12048" max="12048" width="13.7109375" style="640" bestFit="1" customWidth="1"/>
    <col min="12049" max="12288" width="11.42578125" style="640"/>
    <col min="12289" max="12289" width="18" style="640" customWidth="1"/>
    <col min="12290" max="12290" width="13.7109375" style="640" bestFit="1" customWidth="1"/>
    <col min="12291" max="12291" width="18.42578125" style="640" bestFit="1" customWidth="1"/>
    <col min="12292" max="12301" width="13.7109375" style="640" bestFit="1" customWidth="1"/>
    <col min="12302" max="12302" width="15.28515625" style="640" bestFit="1" customWidth="1"/>
    <col min="12303" max="12303" width="11.42578125" style="640"/>
    <col min="12304" max="12304" width="13.7109375" style="640" bestFit="1" customWidth="1"/>
    <col min="12305" max="12544" width="11.42578125" style="640"/>
    <col min="12545" max="12545" width="18" style="640" customWidth="1"/>
    <col min="12546" max="12546" width="13.7109375" style="640" bestFit="1" customWidth="1"/>
    <col min="12547" max="12547" width="18.42578125" style="640" bestFit="1" customWidth="1"/>
    <col min="12548" max="12557" width="13.7109375" style="640" bestFit="1" customWidth="1"/>
    <col min="12558" max="12558" width="15.28515625" style="640" bestFit="1" customWidth="1"/>
    <col min="12559" max="12559" width="11.42578125" style="640"/>
    <col min="12560" max="12560" width="13.7109375" style="640" bestFit="1" customWidth="1"/>
    <col min="12561" max="12800" width="11.42578125" style="640"/>
    <col min="12801" max="12801" width="18" style="640" customWidth="1"/>
    <col min="12802" max="12802" width="13.7109375" style="640" bestFit="1" customWidth="1"/>
    <col min="12803" max="12803" width="18.42578125" style="640" bestFit="1" customWidth="1"/>
    <col min="12804" max="12813" width="13.7109375" style="640" bestFit="1" customWidth="1"/>
    <col min="12814" max="12814" width="15.28515625" style="640" bestFit="1" customWidth="1"/>
    <col min="12815" max="12815" width="11.42578125" style="640"/>
    <col min="12816" max="12816" width="13.7109375" style="640" bestFit="1" customWidth="1"/>
    <col min="12817" max="13056" width="11.42578125" style="640"/>
    <col min="13057" max="13057" width="18" style="640" customWidth="1"/>
    <col min="13058" max="13058" width="13.7109375" style="640" bestFit="1" customWidth="1"/>
    <col min="13059" max="13059" width="18.42578125" style="640" bestFit="1" customWidth="1"/>
    <col min="13060" max="13069" width="13.7109375" style="640" bestFit="1" customWidth="1"/>
    <col min="13070" max="13070" width="15.28515625" style="640" bestFit="1" customWidth="1"/>
    <col min="13071" max="13071" width="11.42578125" style="640"/>
    <col min="13072" max="13072" width="13.7109375" style="640" bestFit="1" customWidth="1"/>
    <col min="13073" max="13312" width="11.42578125" style="640"/>
    <col min="13313" max="13313" width="18" style="640" customWidth="1"/>
    <col min="13314" max="13314" width="13.7109375" style="640" bestFit="1" customWidth="1"/>
    <col min="13315" max="13315" width="18.42578125" style="640" bestFit="1" customWidth="1"/>
    <col min="13316" max="13325" width="13.7109375" style="640" bestFit="1" customWidth="1"/>
    <col min="13326" max="13326" width="15.28515625" style="640" bestFit="1" customWidth="1"/>
    <col min="13327" max="13327" width="11.42578125" style="640"/>
    <col min="13328" max="13328" width="13.7109375" style="640" bestFit="1" customWidth="1"/>
    <col min="13329" max="13568" width="11.42578125" style="640"/>
    <col min="13569" max="13569" width="18" style="640" customWidth="1"/>
    <col min="13570" max="13570" width="13.7109375" style="640" bestFit="1" customWidth="1"/>
    <col min="13571" max="13571" width="18.42578125" style="640" bestFit="1" customWidth="1"/>
    <col min="13572" max="13581" width="13.7109375" style="640" bestFit="1" customWidth="1"/>
    <col min="13582" max="13582" width="15.28515625" style="640" bestFit="1" customWidth="1"/>
    <col min="13583" max="13583" width="11.42578125" style="640"/>
    <col min="13584" max="13584" width="13.7109375" style="640" bestFit="1" customWidth="1"/>
    <col min="13585" max="13824" width="11.42578125" style="640"/>
    <col min="13825" max="13825" width="18" style="640" customWidth="1"/>
    <col min="13826" max="13826" width="13.7109375" style="640" bestFit="1" customWidth="1"/>
    <col min="13827" max="13827" width="18.42578125" style="640" bestFit="1" customWidth="1"/>
    <col min="13828" max="13837" width="13.7109375" style="640" bestFit="1" customWidth="1"/>
    <col min="13838" max="13838" width="15.28515625" style="640" bestFit="1" customWidth="1"/>
    <col min="13839" max="13839" width="11.42578125" style="640"/>
    <col min="13840" max="13840" width="13.7109375" style="640" bestFit="1" customWidth="1"/>
    <col min="13841" max="14080" width="11.42578125" style="640"/>
    <col min="14081" max="14081" width="18" style="640" customWidth="1"/>
    <col min="14082" max="14082" width="13.7109375" style="640" bestFit="1" customWidth="1"/>
    <col min="14083" max="14083" width="18.42578125" style="640" bestFit="1" customWidth="1"/>
    <col min="14084" max="14093" width="13.7109375" style="640" bestFit="1" customWidth="1"/>
    <col min="14094" max="14094" width="15.28515625" style="640" bestFit="1" customWidth="1"/>
    <col min="14095" max="14095" width="11.42578125" style="640"/>
    <col min="14096" max="14096" width="13.7109375" style="640" bestFit="1" customWidth="1"/>
    <col min="14097" max="14336" width="11.42578125" style="640"/>
    <col min="14337" max="14337" width="18" style="640" customWidth="1"/>
    <col min="14338" max="14338" width="13.7109375" style="640" bestFit="1" customWidth="1"/>
    <col min="14339" max="14339" width="18.42578125" style="640" bestFit="1" customWidth="1"/>
    <col min="14340" max="14349" width="13.7109375" style="640" bestFit="1" customWidth="1"/>
    <col min="14350" max="14350" width="15.28515625" style="640" bestFit="1" customWidth="1"/>
    <col min="14351" max="14351" width="11.42578125" style="640"/>
    <col min="14352" max="14352" width="13.7109375" style="640" bestFit="1" customWidth="1"/>
    <col min="14353" max="14592" width="11.42578125" style="640"/>
    <col min="14593" max="14593" width="18" style="640" customWidth="1"/>
    <col min="14594" max="14594" width="13.7109375" style="640" bestFit="1" customWidth="1"/>
    <col min="14595" max="14595" width="18.42578125" style="640" bestFit="1" customWidth="1"/>
    <col min="14596" max="14605" width="13.7109375" style="640" bestFit="1" customWidth="1"/>
    <col min="14606" max="14606" width="15.28515625" style="640" bestFit="1" customWidth="1"/>
    <col min="14607" max="14607" width="11.42578125" style="640"/>
    <col min="14608" max="14608" width="13.7109375" style="640" bestFit="1" customWidth="1"/>
    <col min="14609" max="14848" width="11.42578125" style="640"/>
    <col min="14849" max="14849" width="18" style="640" customWidth="1"/>
    <col min="14850" max="14850" width="13.7109375" style="640" bestFit="1" customWidth="1"/>
    <col min="14851" max="14851" width="18.42578125" style="640" bestFit="1" customWidth="1"/>
    <col min="14852" max="14861" width="13.7109375" style="640" bestFit="1" customWidth="1"/>
    <col min="14862" max="14862" width="15.28515625" style="640" bestFit="1" customWidth="1"/>
    <col min="14863" max="14863" width="11.42578125" style="640"/>
    <col min="14864" max="14864" width="13.7109375" style="640" bestFit="1" customWidth="1"/>
    <col min="14865" max="15104" width="11.42578125" style="640"/>
    <col min="15105" max="15105" width="18" style="640" customWidth="1"/>
    <col min="15106" max="15106" width="13.7109375" style="640" bestFit="1" customWidth="1"/>
    <col min="15107" max="15107" width="18.42578125" style="640" bestFit="1" customWidth="1"/>
    <col min="15108" max="15117" width="13.7109375" style="640" bestFit="1" customWidth="1"/>
    <col min="15118" max="15118" width="15.28515625" style="640" bestFit="1" customWidth="1"/>
    <col min="15119" max="15119" width="11.42578125" style="640"/>
    <col min="15120" max="15120" width="13.7109375" style="640" bestFit="1" customWidth="1"/>
    <col min="15121" max="15360" width="11.42578125" style="640"/>
    <col min="15361" max="15361" width="18" style="640" customWidth="1"/>
    <col min="15362" max="15362" width="13.7109375" style="640" bestFit="1" customWidth="1"/>
    <col min="15363" max="15363" width="18.42578125" style="640" bestFit="1" customWidth="1"/>
    <col min="15364" max="15373" width="13.7109375" style="640" bestFit="1" customWidth="1"/>
    <col min="15374" max="15374" width="15.28515625" style="640" bestFit="1" customWidth="1"/>
    <col min="15375" max="15375" width="11.42578125" style="640"/>
    <col min="15376" max="15376" width="13.7109375" style="640" bestFit="1" customWidth="1"/>
    <col min="15377" max="15616" width="11.42578125" style="640"/>
    <col min="15617" max="15617" width="18" style="640" customWidth="1"/>
    <col min="15618" max="15618" width="13.7109375" style="640" bestFit="1" customWidth="1"/>
    <col min="15619" max="15619" width="18.42578125" style="640" bestFit="1" customWidth="1"/>
    <col min="15620" max="15629" width="13.7109375" style="640" bestFit="1" customWidth="1"/>
    <col min="15630" max="15630" width="15.28515625" style="640" bestFit="1" customWidth="1"/>
    <col min="15631" max="15631" width="11.42578125" style="640"/>
    <col min="15632" max="15632" width="13.7109375" style="640" bestFit="1" customWidth="1"/>
    <col min="15633" max="15872" width="11.42578125" style="640"/>
    <col min="15873" max="15873" width="18" style="640" customWidth="1"/>
    <col min="15874" max="15874" width="13.7109375" style="640" bestFit="1" customWidth="1"/>
    <col min="15875" max="15875" width="18.42578125" style="640" bestFit="1" customWidth="1"/>
    <col min="15876" max="15885" width="13.7109375" style="640" bestFit="1" customWidth="1"/>
    <col min="15886" max="15886" width="15.28515625" style="640" bestFit="1" customWidth="1"/>
    <col min="15887" max="15887" width="11.42578125" style="640"/>
    <col min="15888" max="15888" width="13.7109375" style="640" bestFit="1" customWidth="1"/>
    <col min="15889" max="16128" width="11.42578125" style="640"/>
    <col min="16129" max="16129" width="18" style="640" customWidth="1"/>
    <col min="16130" max="16130" width="13.7109375" style="640" bestFit="1" customWidth="1"/>
    <col min="16131" max="16131" width="18.42578125" style="640" bestFit="1" customWidth="1"/>
    <col min="16132" max="16141" width="13.7109375" style="640" bestFit="1" customWidth="1"/>
    <col min="16142" max="16142" width="15.28515625" style="640" bestFit="1" customWidth="1"/>
    <col min="16143" max="16143" width="11.42578125" style="640"/>
    <col min="16144" max="16144" width="13.7109375" style="640" bestFit="1" customWidth="1"/>
    <col min="16145" max="16384" width="11.42578125" style="640"/>
  </cols>
  <sheetData>
    <row r="1" spans="1:16" ht="15.75" x14ac:dyDescent="0.25">
      <c r="A1" s="1235" t="s">
        <v>277</v>
      </c>
      <c r="B1" s="1235"/>
      <c r="C1" s="1235"/>
      <c r="D1" s="1235"/>
      <c r="E1" s="1235"/>
      <c r="F1" s="1235"/>
      <c r="G1" s="1235"/>
      <c r="H1" s="1235"/>
      <c r="I1" s="1235"/>
      <c r="J1" s="1235"/>
      <c r="K1" s="1235"/>
      <c r="L1" s="1235"/>
      <c r="M1" s="1235"/>
    </row>
    <row r="2" spans="1:16" x14ac:dyDescent="0.2">
      <c r="A2" s="1236" t="s">
        <v>278</v>
      </c>
      <c r="B2" s="1236"/>
      <c r="C2" s="1236"/>
      <c r="D2" s="1236"/>
      <c r="E2" s="1236"/>
      <c r="F2" s="1236"/>
      <c r="G2" s="1236"/>
      <c r="H2" s="1236"/>
      <c r="I2" s="1236"/>
      <c r="J2" s="1236"/>
      <c r="K2" s="1236"/>
      <c r="L2" s="1236"/>
      <c r="M2" s="1236"/>
      <c r="N2" s="732"/>
    </row>
    <row r="3" spans="1:16" x14ac:dyDescent="0.2">
      <c r="A3" s="1236" t="s">
        <v>279</v>
      </c>
      <c r="B3" s="1236"/>
      <c r="C3" s="1236"/>
      <c r="D3" s="1236"/>
      <c r="E3" s="1236"/>
      <c r="F3" s="1236"/>
      <c r="G3" s="1236"/>
      <c r="H3" s="1236"/>
      <c r="I3" s="1236"/>
      <c r="J3" s="1236"/>
      <c r="K3" s="1236"/>
      <c r="L3" s="1236"/>
      <c r="M3" s="1236"/>
      <c r="N3" s="732"/>
    </row>
    <row r="4" spans="1:16" x14ac:dyDescent="0.2">
      <c r="A4" s="1255" t="s">
        <v>390</v>
      </c>
      <c r="B4" s="1255"/>
      <c r="C4" s="1255"/>
      <c r="D4" s="1255"/>
      <c r="E4" s="1255"/>
      <c r="F4" s="1255"/>
      <c r="G4" s="1255"/>
      <c r="H4" s="1255"/>
      <c r="I4" s="1255"/>
      <c r="J4" s="1255"/>
      <c r="K4" s="1255"/>
      <c r="L4" s="1255"/>
      <c r="M4" s="1255"/>
    </row>
    <row r="5" spans="1:16" x14ac:dyDescent="0.2">
      <c r="A5" s="1260" t="s">
        <v>467</v>
      </c>
      <c r="B5" s="1260"/>
      <c r="C5" s="1260"/>
      <c r="D5" s="1260"/>
      <c r="E5" s="1260"/>
      <c r="F5" s="1260"/>
      <c r="G5" s="1260"/>
      <c r="H5" s="1260"/>
      <c r="I5" s="1260"/>
      <c r="J5" s="1260"/>
      <c r="K5" s="1260"/>
      <c r="L5" s="1260"/>
      <c r="M5" s="1260"/>
    </row>
    <row r="6" spans="1:16" x14ac:dyDescent="0.2">
      <c r="A6" s="733"/>
      <c r="B6" s="734"/>
      <c r="C6" s="734"/>
      <c r="D6" s="734"/>
      <c r="E6" s="734"/>
      <c r="F6" s="734"/>
      <c r="G6" s="734"/>
      <c r="H6" s="734"/>
      <c r="I6" s="734"/>
      <c r="J6" s="734"/>
      <c r="K6" s="734"/>
      <c r="L6" s="734"/>
      <c r="M6" s="734"/>
    </row>
    <row r="7" spans="1:16" x14ac:dyDescent="0.2">
      <c r="A7" s="733">
        <f>SUM(B7:M7)</f>
        <v>99.999999999999986</v>
      </c>
      <c r="B7" s="734">
        <f>'X22.55 DOF'!B7</f>
        <v>7.8543152474852249</v>
      </c>
      <c r="C7" s="734">
        <f>'X22.55 DOF'!C7</f>
        <v>11.334335238061243</v>
      </c>
      <c r="D7" s="734">
        <f>'X22.55 DOF'!D7</f>
        <v>7.4007695694019615</v>
      </c>
      <c r="E7" s="734">
        <f>'X22.55 DOF'!E7</f>
        <v>10.990514599382136</v>
      </c>
      <c r="F7" s="734">
        <f>'X22.55 DOF'!F7</f>
        <v>7.4336367750058239</v>
      </c>
      <c r="G7" s="734">
        <f>'X22.55 DOF'!G7</f>
        <v>7.50866047933145</v>
      </c>
      <c r="H7" s="734">
        <f>'X22.55 DOF'!H7</f>
        <v>8.0457107282369762</v>
      </c>
      <c r="I7" s="734">
        <f>'X22.55 DOF'!I7</f>
        <v>8.3267749367881549</v>
      </c>
      <c r="J7" s="734">
        <f>'X22.55 DOF'!J7</f>
        <v>7.9104532089413402</v>
      </c>
      <c r="K7" s="734">
        <f>'X22.55 DOF'!K7</f>
        <v>7.9934350035405481</v>
      </c>
      <c r="L7" s="734">
        <f>'X22.55 DOF'!L7</f>
        <v>7.5504580136813395</v>
      </c>
      <c r="M7" s="734">
        <f>'X22.55 DOF'!M7</f>
        <v>7.6509362001438026</v>
      </c>
    </row>
    <row r="8" spans="1:16" ht="13.5" thickBot="1" x14ac:dyDescent="0.25">
      <c r="A8" s="1259"/>
      <c r="B8" s="1259"/>
      <c r="C8" s="1259"/>
      <c r="D8" s="1259"/>
      <c r="E8" s="1259"/>
      <c r="F8" s="1259"/>
      <c r="G8" s="1259"/>
      <c r="H8" s="1259"/>
      <c r="I8" s="1259"/>
      <c r="J8" s="1259"/>
      <c r="K8" s="1259"/>
      <c r="L8" s="1259"/>
      <c r="M8" s="1259"/>
    </row>
    <row r="9" spans="1:16" ht="13.5" thickBot="1" x14ac:dyDescent="0.25">
      <c r="A9" s="735" t="s">
        <v>391</v>
      </c>
      <c r="B9" s="736" t="s">
        <v>1</v>
      </c>
      <c r="C9" s="736" t="s">
        <v>2</v>
      </c>
      <c r="D9" s="736" t="s">
        <v>3</v>
      </c>
      <c r="E9" s="736" t="s">
        <v>4</v>
      </c>
      <c r="F9" s="736" t="s">
        <v>5</v>
      </c>
      <c r="G9" s="736" t="s">
        <v>6</v>
      </c>
      <c r="H9" s="736" t="s">
        <v>7</v>
      </c>
      <c r="I9" s="736" t="s">
        <v>8</v>
      </c>
      <c r="J9" s="736" t="s">
        <v>9</v>
      </c>
      <c r="K9" s="736" t="s">
        <v>10</v>
      </c>
      <c r="L9" s="736" t="s">
        <v>11</v>
      </c>
      <c r="M9" s="736" t="s">
        <v>12</v>
      </c>
    </row>
    <row r="10" spans="1:16" ht="13.5" thickBot="1" x14ac:dyDescent="0.25">
      <c r="A10" s="737">
        <v>6885140618</v>
      </c>
      <c r="B10" s="738">
        <f>$A$10*B7/100</f>
        <v>540780649.37037241</v>
      </c>
      <c r="C10" s="738">
        <f t="shared" ref="C10:L10" si="0">$A$10*C7/100</f>
        <v>780384919.25604153</v>
      </c>
      <c r="D10" s="738">
        <f t="shared" si="0"/>
        <v>509553391.6674782</v>
      </c>
      <c r="E10" s="738">
        <f t="shared" si="0"/>
        <v>756712384.80927944</v>
      </c>
      <c r="F10" s="738">
        <f t="shared" si="0"/>
        <v>511816344.99051124</v>
      </c>
      <c r="G10" s="738">
        <f t="shared" si="0"/>
        <v>516981832.53016317</v>
      </c>
      <c r="H10" s="738">
        <f t="shared" si="0"/>
        <v>553958497.3566277</v>
      </c>
      <c r="I10" s="738">
        <f t="shared" si="0"/>
        <v>573310163.3422451</v>
      </c>
      <c r="J10" s="738">
        <f t="shared" si="0"/>
        <v>544645826.95670462</v>
      </c>
      <c r="K10" s="738">
        <f t="shared" si="0"/>
        <v>550359240.20220006</v>
      </c>
      <c r="L10" s="738">
        <f t="shared" si="0"/>
        <v>519859651.54500991</v>
      </c>
      <c r="M10" s="738">
        <f>$A$10*M7/100</f>
        <v>526777715.97336668</v>
      </c>
      <c r="N10" s="739">
        <f>SUM(B10)</f>
        <v>540780649.37037241</v>
      </c>
    </row>
    <row r="11" spans="1:16" ht="13.5" thickBot="1" x14ac:dyDescent="0.25">
      <c r="A11" s="737"/>
      <c r="B11" s="740"/>
      <c r="C11" s="741"/>
      <c r="D11" s="741"/>
      <c r="E11" s="741"/>
      <c r="F11" s="741"/>
      <c r="G11" s="741"/>
      <c r="H11" s="741"/>
      <c r="I11" s="741"/>
      <c r="J11" s="741"/>
      <c r="K11" s="741"/>
      <c r="L11" s="741"/>
      <c r="M11" s="742"/>
      <c r="N11" s="739"/>
    </row>
    <row r="12" spans="1:16" ht="13.5" thickBot="1" x14ac:dyDescent="0.25">
      <c r="A12" s="743">
        <v>0.22500000000000001</v>
      </c>
      <c r="B12" s="744">
        <v>0.22500000000000001</v>
      </c>
      <c r="C12" s="745">
        <v>0.22500000000000001</v>
      </c>
      <c r="D12" s="745">
        <v>0.22500000000000001</v>
      </c>
      <c r="E12" s="745">
        <v>0.22500000000000001</v>
      </c>
      <c r="F12" s="745">
        <v>0.22500000000000001</v>
      </c>
      <c r="G12" s="745">
        <v>0.22500000000000001</v>
      </c>
      <c r="H12" s="745">
        <v>0.22500000000000001</v>
      </c>
      <c r="I12" s="745">
        <v>0.22500000000000001</v>
      </c>
      <c r="J12" s="745">
        <v>0.22500000000000001</v>
      </c>
      <c r="K12" s="745">
        <v>0.22500000000000001</v>
      </c>
      <c r="L12" s="745">
        <v>0.22500000000000001</v>
      </c>
      <c r="M12" s="745">
        <v>0.22500000000000001</v>
      </c>
      <c r="N12" s="739"/>
    </row>
    <row r="13" spans="1:16" ht="13.5" thickBot="1" x14ac:dyDescent="0.25">
      <c r="A13" s="737">
        <f>A10*A12</f>
        <v>1549156639.05</v>
      </c>
      <c r="B13" s="746">
        <f>B10*B12</f>
        <v>121675646.1083338</v>
      </c>
      <c r="C13" s="746">
        <f>C10*C12</f>
        <v>175586606.83260936</v>
      </c>
      <c r="D13" s="746">
        <f>D10*D12</f>
        <v>114649513.1251826</v>
      </c>
      <c r="E13" s="746">
        <f t="shared" ref="E13:J13" si="1">E10*E12</f>
        <v>170260286.58208787</v>
      </c>
      <c r="F13" s="746">
        <f t="shared" si="1"/>
        <v>115158677.62286504</v>
      </c>
      <c r="G13" s="746">
        <f t="shared" si="1"/>
        <v>116320912.31928672</v>
      </c>
      <c r="H13" s="746">
        <f t="shared" si="1"/>
        <v>124640661.90524124</v>
      </c>
      <c r="I13" s="746">
        <f t="shared" si="1"/>
        <v>128994786.75200514</v>
      </c>
      <c r="J13" s="746">
        <f t="shared" si="1"/>
        <v>122545311.06525855</v>
      </c>
      <c r="K13" s="746">
        <f>K10*K12</f>
        <v>123830829.04549502</v>
      </c>
      <c r="L13" s="746">
        <f>L10*L12</f>
        <v>116968421.59762724</v>
      </c>
      <c r="M13" s="746">
        <f>M10*M12</f>
        <v>118524986.09400751</v>
      </c>
      <c r="N13" s="739">
        <f>SUM(B13)</f>
        <v>121675646.1083338</v>
      </c>
    </row>
    <row r="14" spans="1:16" x14ac:dyDescent="0.2">
      <c r="A14" s="747" t="s">
        <v>392</v>
      </c>
      <c r="B14" s="748">
        <v>79519983.975000009</v>
      </c>
      <c r="C14" s="748">
        <v>93406104.225000009</v>
      </c>
      <c r="D14" s="748">
        <v>77611356.900000006</v>
      </c>
      <c r="E14" s="748">
        <v>85589943.075000003</v>
      </c>
      <c r="F14" s="748">
        <v>72480824.325000003</v>
      </c>
      <c r="G14" s="748">
        <v>69571626.975000009</v>
      </c>
      <c r="H14" s="748">
        <v>86727042.900000006</v>
      </c>
      <c r="I14" s="748">
        <v>74664112.950000003</v>
      </c>
      <c r="J14" s="748">
        <v>83212012.575000003</v>
      </c>
      <c r="K14" s="748">
        <v>95450367.375</v>
      </c>
      <c r="L14" s="748">
        <v>74640343.950000003</v>
      </c>
      <c r="M14" s="748">
        <v>83654296.875</v>
      </c>
      <c r="P14" s="649"/>
    </row>
    <row r="15" spans="1:16" ht="13.5" thickBot="1" x14ac:dyDescent="0.25">
      <c r="A15" s="747" t="s">
        <v>393</v>
      </c>
      <c r="B15" s="748">
        <f>B13-B14</f>
        <v>42155662.133333787</v>
      </c>
      <c r="C15" s="748">
        <f t="shared" ref="C15:M15" si="2">C13-C14</f>
        <v>82180502.607609347</v>
      </c>
      <c r="D15" s="748">
        <f t="shared" si="2"/>
        <v>37038156.225182593</v>
      </c>
      <c r="E15" s="748">
        <f t="shared" si="2"/>
        <v>84670343.507087871</v>
      </c>
      <c r="F15" s="748">
        <f t="shared" si="2"/>
        <v>42677853.297865033</v>
      </c>
      <c r="G15" s="748">
        <f t="shared" si="2"/>
        <v>46749285.34428671</v>
      </c>
      <c r="H15" s="748">
        <f t="shared" si="2"/>
        <v>37913619.00524123</v>
      </c>
      <c r="I15" s="748">
        <f t="shared" si="2"/>
        <v>54330673.802005142</v>
      </c>
      <c r="J15" s="748">
        <f t="shared" si="2"/>
        <v>39333298.490258545</v>
      </c>
      <c r="K15" s="748">
        <f t="shared" si="2"/>
        <v>28380461.670495018</v>
      </c>
      <c r="L15" s="748">
        <f t="shared" si="2"/>
        <v>42328077.647627234</v>
      </c>
      <c r="M15" s="748">
        <f t="shared" si="2"/>
        <v>34870689.219007507</v>
      </c>
    </row>
    <row r="16" spans="1:16" ht="13.5" thickBot="1" x14ac:dyDescent="0.25">
      <c r="A16" s="749" t="s">
        <v>394</v>
      </c>
      <c r="B16" s="750">
        <f>B14+B15</f>
        <v>121675646.1083338</v>
      </c>
      <c r="C16" s="750">
        <f t="shared" ref="C16:M16" si="3">C14+C15</f>
        <v>175586606.83260936</v>
      </c>
      <c r="D16" s="750">
        <f t="shared" si="3"/>
        <v>114649513.1251826</v>
      </c>
      <c r="E16" s="750">
        <f t="shared" si="3"/>
        <v>170260286.58208787</v>
      </c>
      <c r="F16" s="750">
        <f t="shared" si="3"/>
        <v>115158677.62286504</v>
      </c>
      <c r="G16" s="750">
        <f t="shared" si="3"/>
        <v>116320912.31928672</v>
      </c>
      <c r="H16" s="750">
        <f t="shared" si="3"/>
        <v>124640661.90524124</v>
      </c>
      <c r="I16" s="750">
        <f t="shared" si="3"/>
        <v>128994786.75200514</v>
      </c>
      <c r="J16" s="750">
        <f t="shared" si="3"/>
        <v>122545311.06525855</v>
      </c>
      <c r="K16" s="750">
        <f t="shared" si="3"/>
        <v>123830829.04549502</v>
      </c>
      <c r="L16" s="750">
        <f t="shared" si="3"/>
        <v>116968421.59762724</v>
      </c>
      <c r="M16" s="750">
        <f t="shared" si="3"/>
        <v>118524986.09400751</v>
      </c>
    </row>
    <row r="17" spans="1:14" x14ac:dyDescent="0.2">
      <c r="A17" s="1255" t="s">
        <v>390</v>
      </c>
      <c r="B17" s="1255"/>
      <c r="C17" s="1255"/>
      <c r="D17" s="1255"/>
      <c r="E17" s="1255"/>
      <c r="F17" s="1255"/>
      <c r="G17" s="1255"/>
      <c r="H17" s="1255"/>
      <c r="I17" s="1255"/>
      <c r="J17" s="1255"/>
      <c r="K17" s="1255"/>
      <c r="L17" s="1255"/>
      <c r="M17" s="1255"/>
    </row>
    <row r="18" spans="1:14" x14ac:dyDescent="0.2">
      <c r="A18" s="1260" t="s">
        <v>468</v>
      </c>
      <c r="B18" s="1260"/>
      <c r="C18" s="1260"/>
      <c r="D18" s="1260"/>
      <c r="E18" s="1260"/>
      <c r="F18" s="1260"/>
      <c r="G18" s="1260"/>
      <c r="H18" s="1260"/>
      <c r="I18" s="1260"/>
      <c r="J18" s="1260"/>
      <c r="K18" s="1260"/>
      <c r="L18" s="1260"/>
      <c r="M18" s="1260"/>
    </row>
    <row r="19" spans="1:14" x14ac:dyDescent="0.2">
      <c r="A19" s="733"/>
      <c r="B19" s="734"/>
      <c r="C19" s="734"/>
      <c r="D19" s="734"/>
      <c r="E19" s="734"/>
      <c r="F19" s="734"/>
      <c r="G19" s="734"/>
      <c r="H19" s="734"/>
      <c r="I19" s="734"/>
      <c r="J19" s="734"/>
      <c r="K19" s="734"/>
      <c r="L19" s="734"/>
      <c r="M19" s="734"/>
    </row>
    <row r="20" spans="1:14" ht="13.5" thickBot="1" x14ac:dyDescent="0.25">
      <c r="A20" s="751">
        <f>SUM(B20:M20)</f>
        <v>100.00000000000001</v>
      </c>
      <c r="B20" s="752">
        <f>'X22.55 DOF'!B17</f>
        <v>7.8535926840847896</v>
      </c>
      <c r="C20" s="752">
        <f>'X22.55 DOF'!C17</f>
        <v>11.340876060055379</v>
      </c>
      <c r="D20" s="752">
        <f>'X22.55 DOF'!D17</f>
        <v>7.3991003684129026</v>
      </c>
      <c r="E20" s="752">
        <f>'X22.55 DOF'!E17</f>
        <v>10.996337745446876</v>
      </c>
      <c r="F20" s="752">
        <f>'X22.55 DOF'!F17</f>
        <v>7.4320361659228169</v>
      </c>
      <c r="G20" s="752">
        <f>'X22.55 DOF'!G17</f>
        <v>7.5072163708866215</v>
      </c>
      <c r="H20" s="752">
        <f>'X22.55 DOF'!H17</f>
        <v>8.0448320880497501</v>
      </c>
      <c r="I20" s="752">
        <f>'X22.55 DOF'!I17</f>
        <v>8.3264828723431599</v>
      </c>
      <c r="J20" s="752">
        <f>'X22.55 DOF'!J17</f>
        <v>7.9092922127447176</v>
      </c>
      <c r="K20" s="752">
        <f>'X22.55 DOF'!K17</f>
        <v>7.992454023548837</v>
      </c>
      <c r="L20" s="752">
        <f>'X22.55 DOF'!L17</f>
        <v>7.5485457329455343</v>
      </c>
      <c r="M20" s="752">
        <f>'X22.55 DOF'!M17</f>
        <v>7.6492336755586168</v>
      </c>
    </row>
    <row r="21" spans="1:14" ht="13.5" thickBot="1" x14ac:dyDescent="0.25">
      <c r="A21" s="735" t="s">
        <v>391</v>
      </c>
      <c r="B21" s="736" t="s">
        <v>1</v>
      </c>
      <c r="C21" s="736" t="s">
        <v>2</v>
      </c>
      <c r="D21" s="736" t="s">
        <v>3</v>
      </c>
      <c r="E21" s="736" t="s">
        <v>4</v>
      </c>
      <c r="F21" s="736" t="s">
        <v>5</v>
      </c>
      <c r="G21" s="736" t="s">
        <v>6</v>
      </c>
      <c r="H21" s="736" t="s">
        <v>7</v>
      </c>
      <c r="I21" s="736" t="s">
        <v>8</v>
      </c>
      <c r="J21" s="736" t="s">
        <v>9</v>
      </c>
      <c r="K21" s="736" t="s">
        <v>10</v>
      </c>
      <c r="L21" s="736" t="s">
        <v>11</v>
      </c>
      <c r="M21" s="736" t="s">
        <v>12</v>
      </c>
    </row>
    <row r="22" spans="1:14" ht="13.5" thickBot="1" x14ac:dyDescent="0.25">
      <c r="A22" s="737">
        <v>531980703</v>
      </c>
      <c r="B22" s="753">
        <f>$A$22*B20/100</f>
        <v>41779597.571550831</v>
      </c>
      <c r="C22" s="753">
        <f t="shared" ref="C22:M22" si="4">$A$22*C20/100</f>
        <v>60331272.190641306</v>
      </c>
      <c r="D22" s="753">
        <f t="shared" si="4"/>
        <v>39361786.155558549</v>
      </c>
      <c r="E22" s="753">
        <f t="shared" si="4"/>
        <v>58498394.842482641</v>
      </c>
      <c r="F22" s="753">
        <f t="shared" si="4"/>
        <v>39536998.242690451</v>
      </c>
      <c r="G22" s="753">
        <f t="shared" si="4"/>
        <v>39936942.425573736</v>
      </c>
      <c r="H22" s="753">
        <f t="shared" si="4"/>
        <v>42796954.297176637</v>
      </c>
      <c r="I22" s="753">
        <f t="shared" si="4"/>
        <v>44295282.119465731</v>
      </c>
      <c r="J22" s="753">
        <f t="shared" si="4"/>
        <v>42075908.315683603</v>
      </c>
      <c r="K22" s="753">
        <f t="shared" si="4"/>
        <v>42518313.101426885</v>
      </c>
      <c r="L22" s="753">
        <f t="shared" si="4"/>
        <v>40156806.656400159</v>
      </c>
      <c r="M22" s="753">
        <f t="shared" si="4"/>
        <v>40692447.08134947</v>
      </c>
      <c r="N22" s="739">
        <f>SUM(B22)</f>
        <v>41779597.571550831</v>
      </c>
    </row>
    <row r="23" spans="1:14" x14ac:dyDescent="0.2">
      <c r="A23" s="747" t="s">
        <v>392</v>
      </c>
      <c r="B23" s="740">
        <v>35431649</v>
      </c>
      <c r="C23" s="740">
        <v>40934154</v>
      </c>
      <c r="D23" s="740">
        <v>34575072</v>
      </c>
      <c r="E23" s="740">
        <v>38155801</v>
      </c>
      <c r="F23" s="740">
        <v>32272527</v>
      </c>
      <c r="G23" s="740">
        <v>34566214</v>
      </c>
      <c r="H23" s="740">
        <v>38666123</v>
      </c>
      <c r="I23" s="740">
        <v>33252371</v>
      </c>
      <c r="J23" s="740">
        <v>37088604</v>
      </c>
      <c r="K23" s="740">
        <v>37002228</v>
      </c>
      <c r="L23" s="740">
        <v>33241703</v>
      </c>
      <c r="M23" s="740">
        <v>37287098</v>
      </c>
    </row>
    <row r="24" spans="1:14" x14ac:dyDescent="0.2">
      <c r="A24" s="747" t="s">
        <v>393</v>
      </c>
      <c r="B24" s="740">
        <f>B22-B23</f>
        <v>6347948.5715508312</v>
      </c>
      <c r="C24" s="740">
        <f t="shared" ref="C24:M24" si="5">C22-C23</f>
        <v>19397118.190641306</v>
      </c>
      <c r="D24" s="740">
        <f t="shared" si="5"/>
        <v>4786714.1555585489</v>
      </c>
      <c r="E24" s="740">
        <f t="shared" si="5"/>
        <v>20342593.842482641</v>
      </c>
      <c r="F24" s="740">
        <f t="shared" si="5"/>
        <v>7264471.2426904514</v>
      </c>
      <c r="G24" s="740">
        <f t="shared" si="5"/>
        <v>5370728.4255737364</v>
      </c>
      <c r="H24" s="740">
        <f t="shared" si="5"/>
        <v>4130831.2971766368</v>
      </c>
      <c r="I24" s="740">
        <f t="shared" si="5"/>
        <v>11042911.119465731</v>
      </c>
      <c r="J24" s="740">
        <f t="shared" si="5"/>
        <v>4987304.3156836033</v>
      </c>
      <c r="K24" s="740">
        <f t="shared" si="5"/>
        <v>5516085.1014268845</v>
      </c>
      <c r="L24" s="740">
        <f t="shared" si="5"/>
        <v>6915103.656400159</v>
      </c>
      <c r="M24" s="740">
        <f t="shared" si="5"/>
        <v>3405349.0813494697</v>
      </c>
    </row>
    <row r="25" spans="1:14" x14ac:dyDescent="0.2">
      <c r="A25" s="688">
        <v>0.7</v>
      </c>
      <c r="B25" s="754">
        <f>B24*$A$25</f>
        <v>4443564.0000855811</v>
      </c>
      <c r="C25" s="754">
        <f t="shared" ref="C25:M25" si="6">C24*$A$25</f>
        <v>13577982.733448913</v>
      </c>
      <c r="D25" s="754">
        <f t="shared" si="6"/>
        <v>3350699.908890984</v>
      </c>
      <c r="E25" s="754">
        <f t="shared" si="6"/>
        <v>14239815.689737849</v>
      </c>
      <c r="F25" s="754">
        <f t="shared" si="6"/>
        <v>5085129.8698833156</v>
      </c>
      <c r="G25" s="754">
        <f t="shared" si="6"/>
        <v>3759509.8979016151</v>
      </c>
      <c r="H25" s="754">
        <f t="shared" si="6"/>
        <v>2891581.9080236456</v>
      </c>
      <c r="I25" s="754">
        <f t="shared" si="6"/>
        <v>7730037.7836260116</v>
      </c>
      <c r="J25" s="754">
        <f t="shared" si="6"/>
        <v>3491113.020978522</v>
      </c>
      <c r="K25" s="754">
        <f t="shared" si="6"/>
        <v>3861259.5709988191</v>
      </c>
      <c r="L25" s="754">
        <f t="shared" si="6"/>
        <v>4840572.5594801111</v>
      </c>
      <c r="M25" s="754">
        <f t="shared" si="6"/>
        <v>2383744.3569446285</v>
      </c>
    </row>
    <row r="26" spans="1:14" ht="13.5" thickBot="1" x14ac:dyDescent="0.25">
      <c r="A26" s="755">
        <v>0.3</v>
      </c>
      <c r="B26" s="754">
        <f>B24*$A$26</f>
        <v>1904384.5714652492</v>
      </c>
      <c r="C26" s="754">
        <f t="shared" ref="C26:M26" si="7">C24*$A$26</f>
        <v>5819135.4571923921</v>
      </c>
      <c r="D26" s="754">
        <f t="shared" si="7"/>
        <v>1436014.2466675646</v>
      </c>
      <c r="E26" s="754">
        <f t="shared" si="7"/>
        <v>6102778.1527447924</v>
      </c>
      <c r="F26" s="754">
        <f t="shared" si="7"/>
        <v>2179341.3728071353</v>
      </c>
      <c r="G26" s="754">
        <f t="shared" si="7"/>
        <v>1611218.5276721208</v>
      </c>
      <c r="H26" s="754">
        <f t="shared" si="7"/>
        <v>1239249.3891529909</v>
      </c>
      <c r="I26" s="754">
        <f t="shared" si="7"/>
        <v>3312873.335839719</v>
      </c>
      <c r="J26" s="754">
        <f t="shared" si="7"/>
        <v>1496191.294705081</v>
      </c>
      <c r="K26" s="754">
        <f t="shared" si="7"/>
        <v>1654825.5304280652</v>
      </c>
      <c r="L26" s="754">
        <f t="shared" si="7"/>
        <v>2074531.0969200477</v>
      </c>
      <c r="M26" s="754">
        <f t="shared" si="7"/>
        <v>1021604.7244048408</v>
      </c>
    </row>
    <row r="27" spans="1:14" ht="13.5" thickBot="1" x14ac:dyDescent="0.25">
      <c r="A27" s="749" t="s">
        <v>394</v>
      </c>
      <c r="B27" s="754">
        <f>SUM(B25:B26)</f>
        <v>6347948.5715508303</v>
      </c>
      <c r="C27" s="754">
        <f t="shared" ref="C27:M27" si="8">SUM(C25:C26)</f>
        <v>19397118.190641306</v>
      </c>
      <c r="D27" s="754">
        <f t="shared" si="8"/>
        <v>4786714.1555585489</v>
      </c>
      <c r="E27" s="754">
        <f t="shared" si="8"/>
        <v>20342593.842482641</v>
      </c>
      <c r="F27" s="754">
        <f t="shared" si="8"/>
        <v>7264471.2426904514</v>
      </c>
      <c r="G27" s="754">
        <f t="shared" si="8"/>
        <v>5370728.4255737364</v>
      </c>
      <c r="H27" s="754">
        <f t="shared" si="8"/>
        <v>4130831.2971766368</v>
      </c>
      <c r="I27" s="754">
        <f t="shared" si="8"/>
        <v>11042911.119465731</v>
      </c>
      <c r="J27" s="754">
        <f t="shared" si="8"/>
        <v>4987304.3156836033</v>
      </c>
      <c r="K27" s="754">
        <f t="shared" si="8"/>
        <v>5516085.1014268845</v>
      </c>
      <c r="L27" s="754">
        <f t="shared" si="8"/>
        <v>6915103.656400159</v>
      </c>
      <c r="M27" s="754">
        <f t="shared" si="8"/>
        <v>3405349.0813494693</v>
      </c>
      <c r="N27" s="756"/>
    </row>
    <row r="28" spans="1:14" x14ac:dyDescent="0.2">
      <c r="A28" s="757"/>
      <c r="B28" s="754"/>
      <c r="C28" s="754"/>
      <c r="D28" s="754"/>
      <c r="E28" s="754"/>
      <c r="F28" s="754"/>
      <c r="G28" s="754"/>
      <c r="H28" s="754"/>
      <c r="I28" s="754"/>
      <c r="J28" s="754"/>
      <c r="K28" s="754"/>
      <c r="L28" s="754"/>
      <c r="M28" s="754"/>
    </row>
    <row r="29" spans="1:14" x14ac:dyDescent="0.2">
      <c r="A29" s="757"/>
      <c r="B29" s="754"/>
      <c r="C29" s="754"/>
      <c r="D29" s="754"/>
      <c r="E29" s="754"/>
      <c r="F29" s="754"/>
      <c r="G29" s="754"/>
      <c r="H29" s="754"/>
      <c r="I29" s="754"/>
      <c r="J29" s="754"/>
      <c r="K29" s="754"/>
      <c r="L29" s="754"/>
      <c r="M29" s="754"/>
    </row>
    <row r="30" spans="1:14" x14ac:dyDescent="0.2">
      <c r="A30" s="757"/>
      <c r="B30" s="754"/>
      <c r="C30" s="754"/>
      <c r="D30" s="754"/>
      <c r="E30" s="754"/>
      <c r="F30" s="754"/>
      <c r="G30" s="754"/>
      <c r="H30" s="754"/>
      <c r="I30" s="754"/>
      <c r="J30" s="754"/>
      <c r="K30" s="754"/>
      <c r="L30" s="754"/>
      <c r="M30" s="754"/>
    </row>
    <row r="31" spans="1:14" x14ac:dyDescent="0.2">
      <c r="A31" s="1255" t="s">
        <v>390</v>
      </c>
      <c r="B31" s="1255"/>
      <c r="C31" s="1255"/>
      <c r="D31" s="1255"/>
      <c r="E31" s="1255"/>
      <c r="F31" s="1255"/>
      <c r="G31" s="1255"/>
      <c r="H31" s="1255"/>
      <c r="I31" s="1255"/>
      <c r="J31" s="1255"/>
      <c r="K31" s="1255"/>
      <c r="L31" s="1255"/>
      <c r="M31" s="1255"/>
    </row>
    <row r="32" spans="1:14" x14ac:dyDescent="0.2">
      <c r="A32" s="1260" t="s">
        <v>469</v>
      </c>
      <c r="B32" s="1260"/>
      <c r="C32" s="1260"/>
      <c r="D32" s="1260"/>
      <c r="E32" s="1260"/>
      <c r="F32" s="1260"/>
      <c r="G32" s="1260"/>
      <c r="H32" s="1260"/>
      <c r="I32" s="1260"/>
      <c r="J32" s="1260"/>
      <c r="K32" s="1260"/>
      <c r="L32" s="1260"/>
      <c r="M32" s="1260"/>
    </row>
    <row r="33" spans="1:16" x14ac:dyDescent="0.2">
      <c r="A33" s="733"/>
      <c r="B33" s="734"/>
      <c r="C33" s="734"/>
      <c r="D33" s="734"/>
      <c r="E33" s="734"/>
      <c r="F33" s="734"/>
      <c r="G33" s="734"/>
      <c r="H33" s="734"/>
      <c r="I33" s="734"/>
      <c r="J33" s="734"/>
      <c r="K33" s="734"/>
      <c r="L33" s="734"/>
      <c r="M33" s="734"/>
    </row>
    <row r="34" spans="1:16" ht="13.5" thickBot="1" x14ac:dyDescent="0.25">
      <c r="A34" s="751">
        <f>SUM(B34:M34)</f>
        <v>100</v>
      </c>
      <c r="B34" s="752">
        <f>'X22.55 DOF'!B29</f>
        <v>7.1299448938837866</v>
      </c>
      <c r="C34" s="752">
        <f>'X22.55 DOF'!C29</f>
        <v>15.506146186305767</v>
      </c>
      <c r="D34" s="752">
        <f>'X22.55 DOF'!D29</f>
        <v>6.9389731645253683</v>
      </c>
      <c r="E34" s="752">
        <f>'X22.55 DOF'!E29</f>
        <v>6.4309180101726566</v>
      </c>
      <c r="F34" s="752">
        <f>'X22.55 DOF'!F29</f>
        <v>7.263431424178723</v>
      </c>
      <c r="G34" s="752">
        <f>'X22.55 DOF'!G29</f>
        <v>7.6798222463299819</v>
      </c>
      <c r="H34" s="752">
        <f>'X22.55 DOF'!H29</f>
        <v>8.0543429186029165</v>
      </c>
      <c r="I34" s="752">
        <f>'X22.55 DOF'!I29</f>
        <v>8.6556395693303347</v>
      </c>
      <c r="J34" s="752">
        <f>'X22.55 DOF'!J29</f>
        <v>8.9077423318933491</v>
      </c>
      <c r="K34" s="752">
        <f>'X22.55 DOF'!K29</f>
        <v>8.1300040918606662</v>
      </c>
      <c r="L34" s="752">
        <f>'X22.55 DOF'!L29</f>
        <v>7.6047619688760104</v>
      </c>
      <c r="M34" s="752">
        <f>'X22.55 DOF'!M29</f>
        <v>7.6982731940404419</v>
      </c>
    </row>
    <row r="35" spans="1:16" ht="13.5" thickBot="1" x14ac:dyDescent="0.25">
      <c r="A35" s="735" t="s">
        <v>391</v>
      </c>
      <c r="B35" s="736" t="s">
        <v>1</v>
      </c>
      <c r="C35" s="736" t="s">
        <v>2</v>
      </c>
      <c r="D35" s="736" t="s">
        <v>3</v>
      </c>
      <c r="E35" s="736" t="s">
        <v>4</v>
      </c>
      <c r="F35" s="736" t="s">
        <v>5</v>
      </c>
      <c r="G35" s="736" t="s">
        <v>6</v>
      </c>
      <c r="H35" s="736" t="s">
        <v>7</v>
      </c>
      <c r="I35" s="736" t="s">
        <v>8</v>
      </c>
      <c r="J35" s="736" t="s">
        <v>9</v>
      </c>
      <c r="K35" s="736" t="s">
        <v>10</v>
      </c>
      <c r="L35" s="736" t="s">
        <v>11</v>
      </c>
      <c r="M35" s="736" t="s">
        <v>12</v>
      </c>
    </row>
    <row r="36" spans="1:16" ht="13.5" thickBot="1" x14ac:dyDescent="0.25">
      <c r="A36" s="737">
        <v>129645846</v>
      </c>
      <c r="B36" s="753">
        <f>$A$36*B34/100</f>
        <v>9243677.3770094365</v>
      </c>
      <c r="C36" s="753">
        <f t="shared" ref="C36:L36" si="9">$A$36*C34/100</f>
        <v>20103074.405232847</v>
      </c>
      <c r="D36" s="753">
        <f t="shared" si="9"/>
        <v>8996090.4628618862</v>
      </c>
      <c r="E36" s="753">
        <f t="shared" si="9"/>
        <v>8337418.0598547067</v>
      </c>
      <c r="F36" s="753">
        <f t="shared" si="9"/>
        <v>9416737.1185063533</v>
      </c>
      <c r="G36" s="753">
        <f t="shared" si="9"/>
        <v>9956570.5225507095</v>
      </c>
      <c r="H36" s="753">
        <f t="shared" si="9"/>
        <v>10442121.016563842</v>
      </c>
      <c r="I36" s="753">
        <f t="shared" si="9"/>
        <v>11221677.146369068</v>
      </c>
      <c r="J36" s="753">
        <f t="shared" si="9"/>
        <v>11548517.90568326</v>
      </c>
      <c r="K36" s="753">
        <f t="shared" si="9"/>
        <v>10540212.584727379</v>
      </c>
      <c r="L36" s="753">
        <f t="shared" si="9"/>
        <v>9859257.9908355605</v>
      </c>
      <c r="M36" s="753">
        <f>$A$36*M34/100</f>
        <v>9980491.4098049514</v>
      </c>
      <c r="N36" s="739">
        <f>SUM(B36)</f>
        <v>9243677.3770094365</v>
      </c>
    </row>
    <row r="37" spans="1:16" ht="13.5" thickBot="1" x14ac:dyDescent="0.25">
      <c r="A37" s="743">
        <v>0.22500000000000001</v>
      </c>
      <c r="B37" s="758">
        <v>0.22500000000000001</v>
      </c>
      <c r="C37" s="758">
        <v>0.22500000000000001</v>
      </c>
      <c r="D37" s="758">
        <v>0.22500000000000001</v>
      </c>
      <c r="E37" s="758">
        <v>0.22500000000000001</v>
      </c>
      <c r="F37" s="758">
        <v>0.22500000000000001</v>
      </c>
      <c r="G37" s="758">
        <v>0.22500000000000001</v>
      </c>
      <c r="H37" s="758">
        <v>0.22500000000000001</v>
      </c>
      <c r="I37" s="758">
        <v>0.22500000000000001</v>
      </c>
      <c r="J37" s="758">
        <v>0.22500000000000001</v>
      </c>
      <c r="K37" s="758">
        <v>0.22500000000000001</v>
      </c>
      <c r="L37" s="758">
        <v>0.22500000000000001</v>
      </c>
      <c r="M37" s="758">
        <v>0.22500000000000001</v>
      </c>
      <c r="N37" s="739"/>
    </row>
    <row r="38" spans="1:16" ht="13.5" thickBot="1" x14ac:dyDescent="0.25">
      <c r="A38" s="737">
        <f t="shared" ref="A38:M38" si="10">A36*A37</f>
        <v>29170315.350000001</v>
      </c>
      <c r="B38" s="746">
        <f t="shared" si="10"/>
        <v>2079827.4098271232</v>
      </c>
      <c r="C38" s="746">
        <f t="shared" si="10"/>
        <v>4523191.7411773903</v>
      </c>
      <c r="D38" s="746">
        <f t="shared" si="10"/>
        <v>2024120.3541439245</v>
      </c>
      <c r="E38" s="746">
        <f t="shared" si="10"/>
        <v>1875919.0634673091</v>
      </c>
      <c r="F38" s="746">
        <f t="shared" si="10"/>
        <v>2118765.8516639294</v>
      </c>
      <c r="G38" s="746">
        <f t="shared" si="10"/>
        <v>2240228.3675739099</v>
      </c>
      <c r="H38" s="746">
        <f t="shared" si="10"/>
        <v>2349477.2287268643</v>
      </c>
      <c r="I38" s="746">
        <f t="shared" si="10"/>
        <v>2524877.3579330402</v>
      </c>
      <c r="J38" s="746">
        <f t="shared" si="10"/>
        <v>2598416.5287787337</v>
      </c>
      <c r="K38" s="746">
        <f t="shared" si="10"/>
        <v>2371547.8315636604</v>
      </c>
      <c r="L38" s="746">
        <f t="shared" si="10"/>
        <v>2218333.0479380013</v>
      </c>
      <c r="M38" s="746">
        <f t="shared" si="10"/>
        <v>2245610.5672061141</v>
      </c>
      <c r="N38" s="739">
        <f>SUM(B38)</f>
        <v>2079827.4098271232</v>
      </c>
    </row>
    <row r="39" spans="1:16" x14ac:dyDescent="0.2">
      <c r="A39" s="747" t="s">
        <v>392</v>
      </c>
      <c r="B39" s="748">
        <v>1445775.3033262629</v>
      </c>
      <c r="C39" s="748">
        <v>2205753.7364722979</v>
      </c>
      <c r="D39" s="748">
        <v>1516402.197610155</v>
      </c>
      <c r="E39" s="748">
        <v>1722537.6352045152</v>
      </c>
      <c r="F39" s="748">
        <v>1641136.1151215194</v>
      </c>
      <c r="G39" s="748">
        <v>1715735.0658352086</v>
      </c>
      <c r="H39" s="748">
        <v>1743567.8248831125</v>
      </c>
      <c r="I39" s="748">
        <v>1808863.5888838039</v>
      </c>
      <c r="J39" s="748">
        <v>1749982.8978382845</v>
      </c>
      <c r="K39" s="748">
        <v>1710440.3724332915</v>
      </c>
      <c r="L39" s="748">
        <v>1671584.474964832</v>
      </c>
      <c r="M39" s="748">
        <v>1678220.787426722</v>
      </c>
    </row>
    <row r="40" spans="1:16" ht="13.5" thickBot="1" x14ac:dyDescent="0.25">
      <c r="A40" s="747" t="s">
        <v>393</v>
      </c>
      <c r="B40" s="748">
        <f>B38-B39</f>
        <v>634052.1065008603</v>
      </c>
      <c r="C40" s="748">
        <f t="shared" ref="C40:M40" si="11">C38-C39</f>
        <v>2317438.0047050924</v>
      </c>
      <c r="D40" s="748">
        <f t="shared" si="11"/>
        <v>507718.15653376956</v>
      </c>
      <c r="E40" s="748">
        <f t="shared" si="11"/>
        <v>153381.42826279392</v>
      </c>
      <c r="F40" s="748">
        <f t="shared" si="11"/>
        <v>477629.73654240998</v>
      </c>
      <c r="G40" s="748">
        <f t="shared" si="11"/>
        <v>524493.3017387013</v>
      </c>
      <c r="H40" s="748">
        <f t="shared" si="11"/>
        <v>605909.40384375188</v>
      </c>
      <c r="I40" s="748">
        <f t="shared" si="11"/>
        <v>716013.76904923632</v>
      </c>
      <c r="J40" s="748">
        <f t="shared" si="11"/>
        <v>848433.63094044919</v>
      </c>
      <c r="K40" s="748">
        <f t="shared" si="11"/>
        <v>661107.45913036889</v>
      </c>
      <c r="L40" s="748">
        <f t="shared" si="11"/>
        <v>546748.57297316939</v>
      </c>
      <c r="M40" s="748">
        <f t="shared" si="11"/>
        <v>567389.77977939206</v>
      </c>
    </row>
    <row r="41" spans="1:16" ht="13.5" thickBot="1" x14ac:dyDescent="0.25">
      <c r="A41" s="749" t="s">
        <v>394</v>
      </c>
      <c r="B41" s="748">
        <f>B39+B40</f>
        <v>2079827.4098271232</v>
      </c>
      <c r="C41" s="748">
        <f t="shared" ref="C41:M41" si="12">C39+C40</f>
        <v>4523191.7411773903</v>
      </c>
      <c r="D41" s="748">
        <f t="shared" si="12"/>
        <v>2024120.3541439245</v>
      </c>
      <c r="E41" s="748">
        <f t="shared" si="12"/>
        <v>1875919.0634673091</v>
      </c>
      <c r="F41" s="748">
        <f t="shared" si="12"/>
        <v>2118765.8516639294</v>
      </c>
      <c r="G41" s="748">
        <f t="shared" si="12"/>
        <v>2240228.3675739099</v>
      </c>
      <c r="H41" s="748">
        <f t="shared" si="12"/>
        <v>2349477.2287268643</v>
      </c>
      <c r="I41" s="748">
        <f t="shared" si="12"/>
        <v>2524877.3579330402</v>
      </c>
      <c r="J41" s="748">
        <f t="shared" si="12"/>
        <v>2598416.5287787337</v>
      </c>
      <c r="K41" s="748">
        <f t="shared" si="12"/>
        <v>2371547.8315636604</v>
      </c>
      <c r="L41" s="748">
        <f t="shared" si="12"/>
        <v>2218333.0479380013</v>
      </c>
      <c r="M41" s="748">
        <f t="shared" si="12"/>
        <v>2245610.5672061141</v>
      </c>
    </row>
    <row r="42" spans="1:16" x14ac:dyDescent="0.2">
      <c r="A42" s="1255" t="s">
        <v>390</v>
      </c>
      <c r="B42" s="1255"/>
      <c r="C42" s="1255"/>
      <c r="D42" s="1255"/>
      <c r="E42" s="1255"/>
      <c r="F42" s="1255"/>
      <c r="G42" s="1255"/>
      <c r="H42" s="1255"/>
      <c r="I42" s="1255"/>
      <c r="J42" s="1255"/>
      <c r="K42" s="1255"/>
      <c r="L42" s="1255"/>
      <c r="M42" s="1255"/>
    </row>
    <row r="43" spans="1:16" x14ac:dyDescent="0.2">
      <c r="A43" s="1260" t="s">
        <v>470</v>
      </c>
      <c r="B43" s="1260"/>
      <c r="C43" s="1260"/>
      <c r="D43" s="1260"/>
      <c r="E43" s="1260"/>
      <c r="F43" s="1260"/>
      <c r="G43" s="1260"/>
      <c r="H43" s="1260"/>
      <c r="I43" s="1260"/>
      <c r="J43" s="1260"/>
      <c r="K43" s="1260"/>
      <c r="L43" s="1260"/>
      <c r="M43" s="1260"/>
    </row>
    <row r="44" spans="1:16" x14ac:dyDescent="0.2">
      <c r="A44" s="733"/>
      <c r="B44" s="734"/>
      <c r="C44" s="734"/>
      <c r="D44" s="734"/>
      <c r="E44" s="734"/>
      <c r="F44" s="734"/>
      <c r="G44" s="734"/>
      <c r="H44" s="734"/>
      <c r="I44" s="734"/>
      <c r="J44" s="734"/>
      <c r="K44" s="734"/>
      <c r="L44" s="734"/>
      <c r="M44" s="734"/>
    </row>
    <row r="45" spans="1:16" ht="13.5" thickBot="1" x14ac:dyDescent="0.25">
      <c r="A45" s="751">
        <f>SUM(B45:M45)</f>
        <v>100</v>
      </c>
      <c r="B45" s="752">
        <f>'X22.55 DOF'!B38</f>
        <v>7.2284028196491708</v>
      </c>
      <c r="C45" s="752">
        <f>'X22.55 DOF'!C38</f>
        <v>8.1559788510855942</v>
      </c>
      <c r="D45" s="752">
        <f>'X22.55 DOF'!D38</f>
        <v>7.7479701225003765</v>
      </c>
      <c r="E45" s="752">
        <f>'X22.55 DOF'!E38</f>
        <v>8.6096977697997676</v>
      </c>
      <c r="F45" s="752">
        <f>'X22.55 DOF'!F38</f>
        <v>8.5030397371307913</v>
      </c>
      <c r="G45" s="752">
        <f>'X22.55 DOF'!G38</f>
        <v>8.7888151939195147</v>
      </c>
      <c r="H45" s="752">
        <f>'X22.55 DOF'!H38</f>
        <v>8.3692945211229457</v>
      </c>
      <c r="I45" s="752">
        <f>'X22.55 DOF'!I38</f>
        <v>8.7359939412118184</v>
      </c>
      <c r="J45" s="752">
        <f>'X22.55 DOF'!J38</f>
        <v>8.6703064444209197</v>
      </c>
      <c r="K45" s="752">
        <f>'X22.55 DOF'!K38</f>
        <v>8.2429979544102903</v>
      </c>
      <c r="L45" s="752">
        <f>'X22.55 DOF'!L38</f>
        <v>8.6259501588632084</v>
      </c>
      <c r="M45" s="752">
        <f>'X22.55 DOF'!M38</f>
        <v>8.3215524858856043</v>
      </c>
    </row>
    <row r="46" spans="1:16" ht="13.5" thickBot="1" x14ac:dyDescent="0.25">
      <c r="A46" s="735" t="s">
        <v>391</v>
      </c>
      <c r="B46" s="736" t="s">
        <v>1</v>
      </c>
      <c r="C46" s="736" t="s">
        <v>2</v>
      </c>
      <c r="D46" s="736" t="s">
        <v>3</v>
      </c>
      <c r="E46" s="736" t="s">
        <v>4</v>
      </c>
      <c r="F46" s="736" t="s">
        <v>5</v>
      </c>
      <c r="G46" s="736" t="s">
        <v>6</v>
      </c>
      <c r="H46" s="736" t="s">
        <v>7</v>
      </c>
      <c r="I46" s="736" t="s">
        <v>8</v>
      </c>
      <c r="J46" s="736" t="s">
        <v>9</v>
      </c>
      <c r="K46" s="736" t="s">
        <v>10</v>
      </c>
      <c r="L46" s="736" t="s">
        <v>11</v>
      </c>
      <c r="M46" s="736" t="s">
        <v>12</v>
      </c>
    </row>
    <row r="47" spans="1:16" ht="13.5" thickBot="1" x14ac:dyDescent="0.25">
      <c r="A47" s="737">
        <v>252972040</v>
      </c>
      <c r="B47" s="759">
        <f>$A$47*B45/100</f>
        <v>18285838.072284028</v>
      </c>
      <c r="C47" s="759">
        <f t="shared" ref="C47:M47" si="13">$A$47*C45/100</f>
        <v>20632346.081559788</v>
      </c>
      <c r="D47" s="759">
        <f t="shared" si="13"/>
        <v>19600198.077479701</v>
      </c>
      <c r="E47" s="759">
        <f t="shared" si="13"/>
        <v>21780128.08609698</v>
      </c>
      <c r="F47" s="759">
        <f t="shared" si="13"/>
        <v>21510313.085030399</v>
      </c>
      <c r="G47" s="759">
        <f t="shared" si="13"/>
        <v>22233245.087888151</v>
      </c>
      <c r="H47" s="759">
        <f t="shared" si="13"/>
        <v>21171975.083692946</v>
      </c>
      <c r="I47" s="759">
        <f t="shared" si="13"/>
        <v>22099622.087359939</v>
      </c>
      <c r="J47" s="759">
        <f t="shared" si="13"/>
        <v>21933451.086703066</v>
      </c>
      <c r="K47" s="759">
        <f t="shared" si="13"/>
        <v>20852480.082429983</v>
      </c>
      <c r="L47" s="759">
        <f t="shared" si="13"/>
        <v>21821242.086259499</v>
      </c>
      <c r="M47" s="759">
        <f t="shared" si="13"/>
        <v>21051201.083215524</v>
      </c>
      <c r="N47" s="739">
        <f>SUM(B47)</f>
        <v>18285838.072284028</v>
      </c>
      <c r="P47" s="649"/>
    </row>
    <row r="48" spans="1:16" ht="13.5" thickBot="1" x14ac:dyDescent="0.25">
      <c r="A48" s="743">
        <v>0.22500000000000001</v>
      </c>
      <c r="B48" s="758">
        <v>0.22500000000000001</v>
      </c>
      <c r="C48" s="758">
        <v>0.22500000000000001</v>
      </c>
      <c r="D48" s="758">
        <v>0.22500000000000001</v>
      </c>
      <c r="E48" s="758">
        <v>0.22500000000000001</v>
      </c>
      <c r="F48" s="758">
        <v>0.22500000000000001</v>
      </c>
      <c r="G48" s="758">
        <v>0.22500000000000001</v>
      </c>
      <c r="H48" s="758">
        <v>0.22500000000000001</v>
      </c>
      <c r="I48" s="758">
        <v>0.22500000000000001</v>
      </c>
      <c r="J48" s="758">
        <v>0.22500000000000001</v>
      </c>
      <c r="K48" s="758">
        <v>0.22500000000000001</v>
      </c>
      <c r="L48" s="758">
        <v>0.22500000000000001</v>
      </c>
      <c r="M48" s="758">
        <v>0.22500000000000001</v>
      </c>
      <c r="N48" s="739"/>
    </row>
    <row r="49" spans="1:16" ht="13.5" thickBot="1" x14ac:dyDescent="0.25">
      <c r="A49" s="737">
        <f t="shared" ref="A49:M49" si="14">A47*A48</f>
        <v>56918709</v>
      </c>
      <c r="B49" s="746">
        <f t="shared" si="14"/>
        <v>4114313.5662639062</v>
      </c>
      <c r="C49" s="746">
        <f t="shared" si="14"/>
        <v>4642277.8683509529</v>
      </c>
      <c r="D49" s="746">
        <f t="shared" si="14"/>
        <v>4410044.5674329326</v>
      </c>
      <c r="E49" s="746">
        <f t="shared" si="14"/>
        <v>4900528.8193718204</v>
      </c>
      <c r="F49" s="746">
        <f t="shared" si="14"/>
        <v>4839820.44413184</v>
      </c>
      <c r="G49" s="746">
        <f t="shared" si="14"/>
        <v>5002480.1447748346</v>
      </c>
      <c r="H49" s="746">
        <f t="shared" si="14"/>
        <v>4763694.3938309131</v>
      </c>
      <c r="I49" s="746">
        <f t="shared" si="14"/>
        <v>4972414.9696559859</v>
      </c>
      <c r="J49" s="746">
        <f t="shared" si="14"/>
        <v>4935026.4945081901</v>
      </c>
      <c r="K49" s="746">
        <f t="shared" si="14"/>
        <v>4691808.0185467461</v>
      </c>
      <c r="L49" s="746">
        <f t="shared" si="14"/>
        <v>4909779.4694083873</v>
      </c>
      <c r="M49" s="746">
        <f t="shared" si="14"/>
        <v>4736520.2437234931</v>
      </c>
      <c r="N49" s="739">
        <f>SUM(B49)</f>
        <v>4114313.5662639062</v>
      </c>
      <c r="P49" s="649"/>
    </row>
    <row r="50" spans="1:16" x14ac:dyDescent="0.2">
      <c r="A50" s="747" t="s">
        <v>392</v>
      </c>
      <c r="B50" s="748">
        <v>2973029.93</v>
      </c>
      <c r="C50" s="748">
        <v>2991400.51</v>
      </c>
      <c r="D50" s="748">
        <v>3398867.13</v>
      </c>
      <c r="E50" s="748">
        <v>3261038.01</v>
      </c>
      <c r="F50" s="748">
        <v>3480510.59</v>
      </c>
      <c r="G50" s="748">
        <v>3343876.25</v>
      </c>
      <c r="H50" s="748">
        <v>3466561.02</v>
      </c>
      <c r="I50" s="748">
        <v>3440989.09</v>
      </c>
      <c r="J50" s="748">
        <v>3282805.89</v>
      </c>
      <c r="K50" s="748">
        <v>3455841.05</v>
      </c>
      <c r="L50" s="748">
        <v>3328385.93</v>
      </c>
      <c r="M50" s="748">
        <v>2449944.6</v>
      </c>
    </row>
    <row r="51" spans="1:16" ht="13.5" thickBot="1" x14ac:dyDescent="0.25">
      <c r="A51" s="747" t="s">
        <v>393</v>
      </c>
      <c r="B51" s="748">
        <f>B49-B50</f>
        <v>1141283.636263906</v>
      </c>
      <c r="C51" s="748">
        <f t="shared" ref="C51:M51" si="15">C49-C50</f>
        <v>1650877.3583509531</v>
      </c>
      <c r="D51" s="748">
        <f t="shared" si="15"/>
        <v>1011177.4374329327</v>
      </c>
      <c r="E51" s="748">
        <f t="shared" si="15"/>
        <v>1639490.8093718207</v>
      </c>
      <c r="F51" s="748">
        <f t="shared" si="15"/>
        <v>1359309.8541318402</v>
      </c>
      <c r="G51" s="748">
        <f t="shared" si="15"/>
        <v>1658603.8947748346</v>
      </c>
      <c r="H51" s="748">
        <f t="shared" si="15"/>
        <v>1297133.3738309131</v>
      </c>
      <c r="I51" s="748">
        <f t="shared" si="15"/>
        <v>1531425.8796559861</v>
      </c>
      <c r="J51" s="748">
        <f t="shared" si="15"/>
        <v>1652220.60450819</v>
      </c>
      <c r="K51" s="748">
        <f t="shared" si="15"/>
        <v>1235966.9685467463</v>
      </c>
      <c r="L51" s="748">
        <f t="shared" si="15"/>
        <v>1581393.5394083872</v>
      </c>
      <c r="M51" s="748">
        <f t="shared" si="15"/>
        <v>2286575.643723493</v>
      </c>
    </row>
    <row r="52" spans="1:16" ht="12.75" customHeight="1" thickBot="1" x14ac:dyDescent="0.25">
      <c r="A52" s="749" t="s">
        <v>394</v>
      </c>
      <c r="B52" s="750">
        <f>B50+B51</f>
        <v>4114313.5662639062</v>
      </c>
      <c r="C52" s="750">
        <f t="shared" ref="C52:M52" si="16">C50+C51</f>
        <v>4642277.8683509529</v>
      </c>
      <c r="D52" s="750">
        <f t="shared" si="16"/>
        <v>4410044.5674329326</v>
      </c>
      <c r="E52" s="750">
        <f t="shared" si="16"/>
        <v>4900528.8193718204</v>
      </c>
      <c r="F52" s="750">
        <f t="shared" si="16"/>
        <v>4839820.44413184</v>
      </c>
      <c r="G52" s="750">
        <f t="shared" si="16"/>
        <v>5002480.1447748346</v>
      </c>
      <c r="H52" s="750">
        <f t="shared" si="16"/>
        <v>4763694.3938309131</v>
      </c>
      <c r="I52" s="750">
        <f t="shared" si="16"/>
        <v>4972414.9696559859</v>
      </c>
      <c r="J52" s="750">
        <f t="shared" si="16"/>
        <v>4935026.4945081901</v>
      </c>
      <c r="K52" s="750">
        <f t="shared" si="16"/>
        <v>4691808.0185467461</v>
      </c>
      <c r="L52" s="750">
        <f t="shared" si="16"/>
        <v>4909779.4694083873</v>
      </c>
      <c r="M52" s="750">
        <f t="shared" si="16"/>
        <v>4736520.2437234931</v>
      </c>
    </row>
    <row r="53" spans="1:16" ht="12.75" customHeight="1" x14ac:dyDescent="0.2">
      <c r="A53" s="760"/>
    </row>
    <row r="54" spans="1:16" x14ac:dyDescent="0.2">
      <c r="A54" s="1255" t="s">
        <v>390</v>
      </c>
      <c r="B54" s="1255"/>
      <c r="C54" s="1255"/>
      <c r="D54" s="1255"/>
      <c r="E54" s="1255"/>
      <c r="F54" s="1255"/>
      <c r="G54" s="1255"/>
      <c r="H54" s="1255"/>
      <c r="I54" s="1255"/>
      <c r="J54" s="1255"/>
      <c r="K54" s="1255"/>
      <c r="L54" s="1255"/>
      <c r="M54" s="1255"/>
    </row>
    <row r="55" spans="1:16" x14ac:dyDescent="0.2">
      <c r="A55" s="1260" t="s">
        <v>471</v>
      </c>
      <c r="B55" s="1260"/>
      <c r="C55" s="1260"/>
      <c r="D55" s="1260"/>
      <c r="E55" s="1260"/>
      <c r="F55" s="1260"/>
      <c r="G55" s="1260"/>
      <c r="H55" s="1260"/>
      <c r="I55" s="1260"/>
      <c r="J55" s="1260"/>
      <c r="K55" s="1260"/>
      <c r="L55" s="1260"/>
      <c r="M55" s="1260"/>
    </row>
    <row r="56" spans="1:16" x14ac:dyDescent="0.2">
      <c r="A56" s="733"/>
      <c r="B56" s="734"/>
      <c r="C56" s="734"/>
      <c r="D56" s="734"/>
      <c r="E56" s="734"/>
      <c r="F56" s="734"/>
      <c r="G56" s="734"/>
      <c r="H56" s="734"/>
      <c r="I56" s="734"/>
      <c r="J56" s="734"/>
      <c r="K56" s="734"/>
      <c r="L56" s="734"/>
      <c r="M56" s="734"/>
    </row>
    <row r="57" spans="1:16" ht="13.5" thickBot="1" x14ac:dyDescent="0.25">
      <c r="A57" s="751">
        <f>SUM(B57:M57)</f>
        <v>100</v>
      </c>
      <c r="B57" s="752">
        <f>'X22.55 DOF'!B47</f>
        <v>10.929429492541463</v>
      </c>
      <c r="C57" s="752">
        <f>'X22.55 DOF'!C47</f>
        <v>5.625629717336551</v>
      </c>
      <c r="D57" s="752">
        <f>'X22.55 DOF'!D47</f>
        <v>5.625629717336551</v>
      </c>
      <c r="E57" s="752">
        <f>'X22.55 DOF'!E47</f>
        <v>17.346591871583644</v>
      </c>
      <c r="F57" s="752">
        <f>'X22.55 DOF'!F47</f>
        <v>5.625629717336551</v>
      </c>
      <c r="G57" s="752">
        <f>'X22.55 DOF'!G47</f>
        <v>5.625629717336551</v>
      </c>
      <c r="H57" s="752">
        <f>'X22.55 DOF'!H47</f>
        <v>13.556461498680466</v>
      </c>
      <c r="I57" s="752">
        <f>'X22.55 DOF'!I47</f>
        <v>5.625629717336551</v>
      </c>
      <c r="J57" s="752">
        <f>'X22.55 DOF'!J47</f>
        <v>5.625629717336551</v>
      </c>
      <c r="K57" s="752">
        <f>'X22.55 DOF'!K47</f>
        <v>13.16247939850202</v>
      </c>
      <c r="L57" s="752">
        <f>'X22.55 DOF'!L47</f>
        <v>5.625629717336551</v>
      </c>
      <c r="M57" s="752">
        <f>'X22.55 DOF'!M47</f>
        <v>5.625629717336551</v>
      </c>
    </row>
    <row r="58" spans="1:16" ht="13.5" thickBot="1" x14ac:dyDescent="0.25">
      <c r="A58" s="735" t="s">
        <v>391</v>
      </c>
      <c r="B58" s="736" t="s">
        <v>1</v>
      </c>
      <c r="C58" s="736" t="s">
        <v>2</v>
      </c>
      <c r="D58" s="736" t="s">
        <v>3</v>
      </c>
      <c r="E58" s="736" t="s">
        <v>4</v>
      </c>
      <c r="F58" s="736" t="s">
        <v>5</v>
      </c>
      <c r="G58" s="736" t="s">
        <v>6</v>
      </c>
      <c r="H58" s="736" t="s">
        <v>7</v>
      </c>
      <c r="I58" s="736" t="s">
        <v>8</v>
      </c>
      <c r="J58" s="736" t="s">
        <v>9</v>
      </c>
      <c r="K58" s="736" t="s">
        <v>10</v>
      </c>
      <c r="L58" s="736" t="s">
        <v>11</v>
      </c>
      <c r="M58" s="736" t="s">
        <v>12</v>
      </c>
    </row>
    <row r="59" spans="1:16" ht="13.5" thickBot="1" x14ac:dyDescent="0.25">
      <c r="A59" s="737">
        <v>300995587</v>
      </c>
      <c r="B59" s="753">
        <f>$A$59*B57/100</f>
        <v>32897100.456826296</v>
      </c>
      <c r="C59" s="753">
        <f t="shared" ref="C59:M59" si="17">$A$59*C57/100</f>
        <v>16932897.190143593</v>
      </c>
      <c r="D59" s="753">
        <f t="shared" si="17"/>
        <v>16932897.190143593</v>
      </c>
      <c r="E59" s="753">
        <f t="shared" si="17"/>
        <v>52212476.028367482</v>
      </c>
      <c r="F59" s="753">
        <f t="shared" si="17"/>
        <v>16932897.190143593</v>
      </c>
      <c r="G59" s="753">
        <f t="shared" si="17"/>
        <v>16932897.190143593</v>
      </c>
      <c r="H59" s="753">
        <f t="shared" si="17"/>
        <v>40804350.864382267</v>
      </c>
      <c r="I59" s="753">
        <f t="shared" si="17"/>
        <v>16932897.190143593</v>
      </c>
      <c r="J59" s="753">
        <f t="shared" si="17"/>
        <v>16932897.190143593</v>
      </c>
      <c r="K59" s="753">
        <f t="shared" si="17"/>
        <v>39618482.129275225</v>
      </c>
      <c r="L59" s="753">
        <f t="shared" si="17"/>
        <v>16932897.190143593</v>
      </c>
      <c r="M59" s="753">
        <f t="shared" si="17"/>
        <v>16932897.190143593</v>
      </c>
      <c r="N59" s="739">
        <f>SUM(B59)</f>
        <v>32897100.456826296</v>
      </c>
    </row>
    <row r="60" spans="1:16" ht="13.5" thickBot="1" x14ac:dyDescent="0.25">
      <c r="A60" s="743">
        <v>0.22500000000000001</v>
      </c>
      <c r="B60" s="758">
        <v>0.22500000000000001</v>
      </c>
      <c r="C60" s="758">
        <v>0.22500000000000001</v>
      </c>
      <c r="D60" s="758">
        <v>0.22500000000000001</v>
      </c>
      <c r="E60" s="758">
        <v>0.22500000000000001</v>
      </c>
      <c r="F60" s="758">
        <v>0.22500000000000001</v>
      </c>
      <c r="G60" s="758">
        <v>0.22500000000000001</v>
      </c>
      <c r="H60" s="758">
        <v>0.22500000000000001</v>
      </c>
      <c r="I60" s="758">
        <v>0.22500000000000001</v>
      </c>
      <c r="J60" s="758">
        <v>0.22500000000000001</v>
      </c>
      <c r="K60" s="758">
        <v>0.22500000000000001</v>
      </c>
      <c r="L60" s="758">
        <v>0.22500000000000001</v>
      </c>
      <c r="M60" s="758">
        <v>0.22500000000000001</v>
      </c>
      <c r="N60" s="739"/>
    </row>
    <row r="61" spans="1:16" ht="13.5" thickBot="1" x14ac:dyDescent="0.25">
      <c r="A61" s="737">
        <f>A59*A60</f>
        <v>67724007.075000003</v>
      </c>
      <c r="B61" s="746">
        <f t="shared" ref="B61:M61" si="18">B59*B60</f>
        <v>7401847.602785917</v>
      </c>
      <c r="C61" s="746">
        <f t="shared" si="18"/>
        <v>3809901.8677823083</v>
      </c>
      <c r="D61" s="746">
        <f t="shared" si="18"/>
        <v>3809901.8677823083</v>
      </c>
      <c r="E61" s="746">
        <f t="shared" si="18"/>
        <v>11747807.106382683</v>
      </c>
      <c r="F61" s="746">
        <f t="shared" si="18"/>
        <v>3809901.8677823083</v>
      </c>
      <c r="G61" s="746">
        <f t="shared" si="18"/>
        <v>3809901.8677823083</v>
      </c>
      <c r="H61" s="746">
        <f t="shared" si="18"/>
        <v>9180978.9444860108</v>
      </c>
      <c r="I61" s="746">
        <f t="shared" si="18"/>
        <v>3809901.8677823083</v>
      </c>
      <c r="J61" s="746">
        <f t="shared" si="18"/>
        <v>3809901.8677823083</v>
      </c>
      <c r="K61" s="746">
        <f t="shared" si="18"/>
        <v>8914158.4790869262</v>
      </c>
      <c r="L61" s="746">
        <f t="shared" si="18"/>
        <v>3809901.8677823083</v>
      </c>
      <c r="M61" s="746">
        <f t="shared" si="18"/>
        <v>3809901.8677823083</v>
      </c>
      <c r="N61" s="739">
        <f>SUM(B61)</f>
        <v>7401847.602785917</v>
      </c>
    </row>
    <row r="62" spans="1:16" x14ac:dyDescent="0.2">
      <c r="A62" s="747" t="s">
        <v>392</v>
      </c>
      <c r="B62" s="748">
        <v>4226222.5351250712</v>
      </c>
      <c r="C62" s="748">
        <v>3292135.8090934348</v>
      </c>
      <c r="D62" s="748">
        <v>3292135.8090934348</v>
      </c>
      <c r="E62" s="748">
        <v>4973806.6755524464</v>
      </c>
      <c r="F62" s="748">
        <v>3292135.8090934348</v>
      </c>
      <c r="G62" s="748">
        <v>3292135.8090934348</v>
      </c>
      <c r="H62" s="748">
        <v>4182016.5370987086</v>
      </c>
      <c r="I62" s="748">
        <v>3292135.8090934353</v>
      </c>
      <c r="J62" s="748">
        <v>3292135.8090934353</v>
      </c>
      <c r="K62" s="748">
        <v>4360392.779476299</v>
      </c>
      <c r="L62" s="748">
        <v>3292135.8090934358</v>
      </c>
      <c r="M62" s="748">
        <v>3292135.8090934358</v>
      </c>
    </row>
    <row r="63" spans="1:16" ht="13.5" thickBot="1" x14ac:dyDescent="0.25">
      <c r="A63" s="747" t="s">
        <v>393</v>
      </c>
      <c r="B63" s="748">
        <f>B61-B62</f>
        <v>3175625.0676608458</v>
      </c>
      <c r="C63" s="748">
        <f t="shared" ref="C63:M63" si="19">C61-C62</f>
        <v>517766.05868887343</v>
      </c>
      <c r="D63" s="748">
        <f t="shared" si="19"/>
        <v>517766.05868887343</v>
      </c>
      <c r="E63" s="748">
        <f t="shared" si="19"/>
        <v>6774000.4308302365</v>
      </c>
      <c r="F63" s="748">
        <f t="shared" si="19"/>
        <v>517766.05868887343</v>
      </c>
      <c r="G63" s="748">
        <f t="shared" si="19"/>
        <v>517766.05868887343</v>
      </c>
      <c r="H63" s="748">
        <f t="shared" si="19"/>
        <v>4998962.4073873023</v>
      </c>
      <c r="I63" s="748">
        <f t="shared" si="19"/>
        <v>517766.05868887296</v>
      </c>
      <c r="J63" s="748">
        <f t="shared" si="19"/>
        <v>517766.05868887296</v>
      </c>
      <c r="K63" s="748">
        <f t="shared" si="19"/>
        <v>4553765.6996106273</v>
      </c>
      <c r="L63" s="748">
        <f t="shared" si="19"/>
        <v>517766.05868887249</v>
      </c>
      <c r="M63" s="748">
        <f t="shared" si="19"/>
        <v>517766.05868887249</v>
      </c>
    </row>
    <row r="64" spans="1:16" ht="13.5" thickBot="1" x14ac:dyDescent="0.25">
      <c r="A64" s="749" t="s">
        <v>394</v>
      </c>
      <c r="B64" s="750">
        <f>B62+B63</f>
        <v>7401847.602785917</v>
      </c>
      <c r="C64" s="750">
        <f t="shared" ref="C64:M64" si="20">C62+C63</f>
        <v>3809901.8677823083</v>
      </c>
      <c r="D64" s="750">
        <f t="shared" si="20"/>
        <v>3809901.8677823083</v>
      </c>
      <c r="E64" s="750">
        <f t="shared" si="20"/>
        <v>11747807.106382683</v>
      </c>
      <c r="F64" s="750">
        <f t="shared" si="20"/>
        <v>3809901.8677823083</v>
      </c>
      <c r="G64" s="750">
        <f t="shared" si="20"/>
        <v>3809901.8677823083</v>
      </c>
      <c r="H64" s="750">
        <f t="shared" si="20"/>
        <v>9180978.9444860108</v>
      </c>
      <c r="I64" s="750">
        <f t="shared" si="20"/>
        <v>3809901.8677823083</v>
      </c>
      <c r="J64" s="750">
        <f t="shared" si="20"/>
        <v>3809901.8677823083</v>
      </c>
      <c r="K64" s="750">
        <f t="shared" si="20"/>
        <v>8914158.4790869262</v>
      </c>
      <c r="L64" s="750">
        <f t="shared" si="20"/>
        <v>3809901.8677823083</v>
      </c>
      <c r="M64" s="750">
        <f t="shared" si="20"/>
        <v>3809901.8677823083</v>
      </c>
    </row>
    <row r="65" spans="1:16" x14ac:dyDescent="0.2">
      <c r="A65" s="760"/>
    </row>
    <row r="66" spans="1:16" x14ac:dyDescent="0.2">
      <c r="A66" s="1255" t="s">
        <v>390</v>
      </c>
      <c r="B66" s="1255"/>
      <c r="C66" s="1255"/>
      <c r="D66" s="1255"/>
      <c r="E66" s="1255"/>
      <c r="F66" s="1255"/>
      <c r="G66" s="1255"/>
      <c r="H66" s="1255"/>
      <c r="I66" s="1255"/>
      <c r="J66" s="1255"/>
      <c r="K66" s="1255"/>
      <c r="L66" s="1255"/>
      <c r="M66" s="1255"/>
    </row>
    <row r="67" spans="1:16" x14ac:dyDescent="0.2">
      <c r="A67" s="1260" t="s">
        <v>472</v>
      </c>
      <c r="B67" s="1260"/>
      <c r="C67" s="1260"/>
      <c r="D67" s="1260"/>
      <c r="E67" s="1260"/>
      <c r="F67" s="1260"/>
      <c r="G67" s="1260"/>
      <c r="H67" s="1260"/>
      <c r="I67" s="1260"/>
      <c r="J67" s="1260"/>
      <c r="K67" s="1260"/>
      <c r="L67" s="1260"/>
      <c r="M67" s="1260"/>
    </row>
    <row r="68" spans="1:16" x14ac:dyDescent="0.2">
      <c r="A68" s="733"/>
      <c r="B68" s="734"/>
      <c r="C68" s="734"/>
      <c r="D68" s="734"/>
      <c r="E68" s="734"/>
      <c r="F68" s="734"/>
      <c r="G68" s="734"/>
      <c r="H68" s="734"/>
      <c r="I68" s="734"/>
      <c r="J68" s="734"/>
      <c r="K68" s="734"/>
      <c r="L68" s="734"/>
      <c r="M68" s="734"/>
    </row>
    <row r="69" spans="1:16" ht="13.5" thickBot="1" x14ac:dyDescent="0.25">
      <c r="A69" s="751">
        <f>SUM(B69:M69)</f>
        <v>100.00000000000001</v>
      </c>
      <c r="B69" s="752">
        <f>'X22.55 DOF'!B56</f>
        <v>7.2284029839429049</v>
      </c>
      <c r="C69" s="752">
        <f>'X22.55 DOF'!C56</f>
        <v>8.1559786716878531</v>
      </c>
      <c r="D69" s="752">
        <f>'X22.55 DOF'!D56</f>
        <v>7.7479701599466031</v>
      </c>
      <c r="E69" s="752">
        <f>'X22.55 DOF'!E56</f>
        <v>8.6096976590064607</v>
      </c>
      <c r="F69" s="752">
        <f>'X22.55 DOF'!F56</f>
        <v>8.5030398826592979</v>
      </c>
      <c r="G69" s="752">
        <f>'X22.55 DOF'!G56</f>
        <v>8.7888151726581825</v>
      </c>
      <c r="H69" s="752">
        <f>'X22.55 DOF'!H56</f>
        <v>8.3692944411684795</v>
      </c>
      <c r="I69" s="752">
        <f>'X22.55 DOF'!I56</f>
        <v>8.7359941063955819</v>
      </c>
      <c r="J69" s="752">
        <f>'X22.55 DOF'!J56</f>
        <v>8.6703063395735125</v>
      </c>
      <c r="K69" s="752">
        <f>'X22.55 DOF'!K56</f>
        <v>8.2429979937793565</v>
      </c>
      <c r="L69" s="752">
        <f>'X22.55 DOF'!L56</f>
        <v>8.6259503448071744</v>
      </c>
      <c r="M69" s="752">
        <f>'X22.55 DOF'!M56</f>
        <v>8.3215522443745957</v>
      </c>
    </row>
    <row r="70" spans="1:16" ht="13.5" thickBot="1" x14ac:dyDescent="0.25">
      <c r="A70" s="735" t="s">
        <v>391</v>
      </c>
      <c r="B70" s="736" t="s">
        <v>1</v>
      </c>
      <c r="C70" s="736" t="s">
        <v>2</v>
      </c>
      <c r="D70" s="736" t="s">
        <v>3</v>
      </c>
      <c r="E70" s="736" t="s">
        <v>4</v>
      </c>
      <c r="F70" s="736" t="s">
        <v>5</v>
      </c>
      <c r="G70" s="736" t="s">
        <v>6</v>
      </c>
      <c r="H70" s="736" t="s">
        <v>7</v>
      </c>
      <c r="I70" s="736" t="s">
        <v>8</v>
      </c>
      <c r="J70" s="736" t="s">
        <v>9</v>
      </c>
      <c r="K70" s="736" t="s">
        <v>10</v>
      </c>
      <c r="L70" s="736" t="s">
        <v>11</v>
      </c>
      <c r="M70" s="736" t="s">
        <v>12</v>
      </c>
    </row>
    <row r="71" spans="1:16" ht="13.5" thickBot="1" x14ac:dyDescent="0.25">
      <c r="A71" s="737">
        <f>SUM(B71:M71)</f>
        <v>461283759</v>
      </c>
      <c r="B71" s="762">
        <v>33343449</v>
      </c>
      <c r="C71" s="762">
        <v>37622205</v>
      </c>
      <c r="D71" s="762">
        <v>35740128</v>
      </c>
      <c r="E71" s="762">
        <v>39715137</v>
      </c>
      <c r="F71" s="762">
        <v>39223142</v>
      </c>
      <c r="G71" s="762">
        <v>40541377</v>
      </c>
      <c r="H71" s="762">
        <v>38606196</v>
      </c>
      <c r="I71" s="762">
        <v>40297722</v>
      </c>
      <c r="J71" s="762">
        <v>39994715</v>
      </c>
      <c r="K71" s="762">
        <v>38023611</v>
      </c>
      <c r="L71" s="762">
        <v>39790108</v>
      </c>
      <c r="M71" s="762">
        <v>38385969</v>
      </c>
      <c r="N71" s="739">
        <f>SUM(B71)</f>
        <v>33343449</v>
      </c>
    </row>
    <row r="72" spans="1:16" ht="13.5" thickBot="1" x14ac:dyDescent="0.25">
      <c r="A72" s="743">
        <v>0.22500000000000001</v>
      </c>
      <c r="B72" s="758">
        <v>0.22500000000000001</v>
      </c>
      <c r="C72" s="758">
        <v>0.22500000000000001</v>
      </c>
      <c r="D72" s="758">
        <v>0.22500000000000001</v>
      </c>
      <c r="E72" s="758">
        <v>0.22500000000000001</v>
      </c>
      <c r="F72" s="758">
        <v>0.22500000000000001</v>
      </c>
      <c r="G72" s="758">
        <v>0.22500000000000001</v>
      </c>
      <c r="H72" s="758">
        <v>0.22500000000000001</v>
      </c>
      <c r="I72" s="758">
        <v>0.22500000000000001</v>
      </c>
      <c r="J72" s="758">
        <v>0.22500000000000001</v>
      </c>
      <c r="K72" s="758">
        <v>0.22500000000000001</v>
      </c>
      <c r="L72" s="758">
        <v>0.22500000000000001</v>
      </c>
      <c r="M72" s="758">
        <v>0.22500000000000001</v>
      </c>
      <c r="N72" s="739"/>
    </row>
    <row r="73" spans="1:16" ht="13.5" thickBot="1" x14ac:dyDescent="0.25">
      <c r="A73" s="737">
        <f>A71*A72</f>
        <v>103788845.77500001</v>
      </c>
      <c r="B73" s="746">
        <f t="shared" ref="B73:H73" si="21">B71*B72</f>
        <v>7502276.0250000004</v>
      </c>
      <c r="C73" s="746">
        <f t="shared" si="21"/>
        <v>8464996.125</v>
      </c>
      <c r="D73" s="746">
        <f t="shared" si="21"/>
        <v>8041528.7999999998</v>
      </c>
      <c r="E73" s="746">
        <f t="shared" si="21"/>
        <v>8935905.8250000011</v>
      </c>
      <c r="F73" s="746">
        <f t="shared" si="21"/>
        <v>8825206.9500000011</v>
      </c>
      <c r="G73" s="746">
        <f t="shared" si="21"/>
        <v>9121809.8250000011</v>
      </c>
      <c r="H73" s="746">
        <f t="shared" si="21"/>
        <v>8686394.0999999996</v>
      </c>
      <c r="I73" s="746">
        <f>I71*I72</f>
        <v>9066987.4500000011</v>
      </c>
      <c r="J73" s="746">
        <f>J71*J72</f>
        <v>8998810.875</v>
      </c>
      <c r="K73" s="746">
        <f>K71*K72</f>
        <v>8555312.4749999996</v>
      </c>
      <c r="L73" s="746">
        <f>L71*L72</f>
        <v>8952774.3000000007</v>
      </c>
      <c r="M73" s="746">
        <f>M71*M72</f>
        <v>8636843.0250000004</v>
      </c>
      <c r="N73" s="739">
        <f>SUM(B73)</f>
        <v>7502276.0250000004</v>
      </c>
    </row>
    <row r="74" spans="1:16" x14ac:dyDescent="0.2">
      <c r="A74" s="747" t="s">
        <v>392</v>
      </c>
      <c r="B74" s="748">
        <v>5804455.2000000002</v>
      </c>
      <c r="C74" s="748">
        <v>5840320.9900000002</v>
      </c>
      <c r="D74" s="748">
        <v>6635846.9900000002</v>
      </c>
      <c r="E74" s="748">
        <v>6366753.5199999996</v>
      </c>
      <c r="F74" s="748">
        <v>6795245.21</v>
      </c>
      <c r="G74" s="748">
        <v>6528484.1100000003</v>
      </c>
      <c r="H74" s="748">
        <v>6768010.4000000004</v>
      </c>
      <c r="I74" s="748">
        <v>6718084.6799999997</v>
      </c>
      <c r="J74" s="748">
        <v>6409252.2000000002</v>
      </c>
      <c r="K74" s="748">
        <v>6747081.1699999999</v>
      </c>
      <c r="L74" s="748">
        <v>6498241.7000000002</v>
      </c>
      <c r="M74" s="748">
        <v>4783198.82</v>
      </c>
    </row>
    <row r="75" spans="1:16" ht="13.5" thickBot="1" x14ac:dyDescent="0.25">
      <c r="A75" s="747" t="s">
        <v>393</v>
      </c>
      <c r="B75" s="748">
        <f>B73-B74</f>
        <v>1697820.8250000002</v>
      </c>
      <c r="C75" s="748">
        <f t="shared" ref="C75:M75" si="22">C73-C74</f>
        <v>2624675.1349999998</v>
      </c>
      <c r="D75" s="748">
        <f t="shared" si="22"/>
        <v>1405681.8099999996</v>
      </c>
      <c r="E75" s="748">
        <f t="shared" si="22"/>
        <v>2569152.3050000016</v>
      </c>
      <c r="F75" s="748">
        <f t="shared" si="22"/>
        <v>2029961.7400000012</v>
      </c>
      <c r="G75" s="748">
        <f t="shared" si="22"/>
        <v>2593325.7150000008</v>
      </c>
      <c r="H75" s="748">
        <f t="shared" si="22"/>
        <v>1918383.6999999993</v>
      </c>
      <c r="I75" s="748">
        <f t="shared" si="22"/>
        <v>2348902.7700000014</v>
      </c>
      <c r="J75" s="748">
        <f t="shared" si="22"/>
        <v>2589558.6749999998</v>
      </c>
      <c r="K75" s="748">
        <f t="shared" si="22"/>
        <v>1808231.3049999997</v>
      </c>
      <c r="L75" s="748">
        <f t="shared" si="22"/>
        <v>2454532.6000000006</v>
      </c>
      <c r="M75" s="748">
        <f t="shared" si="22"/>
        <v>3853644.2050000001</v>
      </c>
    </row>
    <row r="76" spans="1:16" ht="13.5" thickBot="1" x14ac:dyDescent="0.25">
      <c r="A76" s="749" t="s">
        <v>394</v>
      </c>
      <c r="B76" s="750">
        <f>B74+B75</f>
        <v>7502276.0250000004</v>
      </c>
      <c r="C76" s="750">
        <f t="shared" ref="C76:M76" si="23">C74+C75</f>
        <v>8464996.125</v>
      </c>
      <c r="D76" s="750">
        <f t="shared" si="23"/>
        <v>8041528.7999999998</v>
      </c>
      <c r="E76" s="750">
        <f t="shared" si="23"/>
        <v>8935905.8250000011</v>
      </c>
      <c r="F76" s="750">
        <f t="shared" si="23"/>
        <v>8825206.9500000011</v>
      </c>
      <c r="G76" s="750">
        <f t="shared" si="23"/>
        <v>9121809.8250000011</v>
      </c>
      <c r="H76" s="750">
        <f t="shared" si="23"/>
        <v>8686394.0999999996</v>
      </c>
      <c r="I76" s="750">
        <f t="shared" si="23"/>
        <v>9066987.4500000011</v>
      </c>
      <c r="J76" s="750">
        <f t="shared" si="23"/>
        <v>8998810.875</v>
      </c>
      <c r="K76" s="750">
        <f t="shared" si="23"/>
        <v>8555312.4749999996</v>
      </c>
      <c r="L76" s="750">
        <f t="shared" si="23"/>
        <v>8952774.3000000007</v>
      </c>
      <c r="M76" s="750">
        <f t="shared" si="23"/>
        <v>8636843.0250000004</v>
      </c>
      <c r="P76" s="649">
        <f>SUM(B74:M74)</f>
        <v>75894974.99000001</v>
      </c>
    </row>
    <row r="77" spans="1:16" x14ac:dyDescent="0.2">
      <c r="A77" s="760"/>
    </row>
    <row r="78" spans="1:16" x14ac:dyDescent="0.2">
      <c r="A78" s="1255" t="s">
        <v>390</v>
      </c>
      <c r="B78" s="1255"/>
      <c r="C78" s="1255"/>
      <c r="D78" s="1255"/>
      <c r="E78" s="1255"/>
      <c r="F78" s="1255"/>
      <c r="G78" s="1255"/>
      <c r="H78" s="1255"/>
      <c r="I78" s="1255"/>
      <c r="J78" s="1255"/>
      <c r="K78" s="1255"/>
      <c r="L78" s="1255"/>
      <c r="M78" s="1255"/>
    </row>
    <row r="79" spans="1:16" x14ac:dyDescent="0.2">
      <c r="A79" s="1260" t="s">
        <v>473</v>
      </c>
      <c r="B79" s="1260"/>
      <c r="C79" s="1260"/>
      <c r="D79" s="1260"/>
      <c r="E79" s="1260"/>
      <c r="F79" s="1260"/>
      <c r="G79" s="1260"/>
      <c r="H79" s="1260"/>
      <c r="I79" s="1260"/>
      <c r="J79" s="1260"/>
      <c r="K79" s="1260"/>
      <c r="L79" s="1260"/>
      <c r="M79" s="1260"/>
    </row>
    <row r="80" spans="1:16" x14ac:dyDescent="0.2">
      <c r="A80" s="733"/>
      <c r="B80" s="734"/>
      <c r="C80" s="734"/>
      <c r="D80" s="734"/>
      <c r="E80" s="734"/>
      <c r="F80" s="734"/>
      <c r="G80" s="734"/>
      <c r="H80" s="734"/>
      <c r="I80" s="734"/>
      <c r="J80" s="734"/>
      <c r="K80" s="734"/>
      <c r="L80" s="734"/>
      <c r="M80" s="734"/>
    </row>
    <row r="81" spans="1:14" ht="13.5" thickBot="1" x14ac:dyDescent="0.25">
      <c r="A81" s="751">
        <f>SUM(B81:M81)</f>
        <v>100</v>
      </c>
      <c r="B81" s="752">
        <f>'X22.55 DOF'!B65</f>
        <v>9.2700511785572317</v>
      </c>
      <c r="C81" s="752">
        <f>'X22.55 DOF'!C65</f>
        <v>10.192186976872247</v>
      </c>
      <c r="D81" s="752">
        <f>'X22.55 DOF'!D65</f>
        <v>8.7871081064630676</v>
      </c>
      <c r="E81" s="752">
        <f>'X22.55 DOF'!E65</f>
        <v>7.9929337196076933</v>
      </c>
      <c r="F81" s="752">
        <f>'X22.55 DOF'!F65</f>
        <v>8.3314071759169757</v>
      </c>
      <c r="G81" s="752">
        <f>'X22.55 DOF'!G65</f>
        <v>6.7975426853023713</v>
      </c>
      <c r="H81" s="752">
        <f>'X22.55 DOF'!H65</f>
        <v>7.2912196946193664</v>
      </c>
      <c r="I81" s="752">
        <f>'X22.55 DOF'!I65</f>
        <v>8.1010804799951437</v>
      </c>
      <c r="J81" s="752">
        <f>'X22.55 DOF'!J65</f>
        <v>7.8971693139346471</v>
      </c>
      <c r="K81" s="752">
        <f>'X22.55 DOF'!K65</f>
        <v>8.0845698727289541</v>
      </c>
      <c r="L81" s="752">
        <f>'X22.55 DOF'!L65</f>
        <v>8.3338846080362377</v>
      </c>
      <c r="M81" s="752">
        <f>'X22.55 DOF'!M65</f>
        <v>8.9208461879660668</v>
      </c>
    </row>
    <row r="82" spans="1:14" ht="13.5" thickBot="1" x14ac:dyDescent="0.25">
      <c r="A82" s="735" t="s">
        <v>391</v>
      </c>
      <c r="B82" s="736" t="s">
        <v>1</v>
      </c>
      <c r="C82" s="736" t="s">
        <v>2</v>
      </c>
      <c r="D82" s="736" t="s">
        <v>3</v>
      </c>
      <c r="E82" s="736" t="s">
        <v>4</v>
      </c>
      <c r="F82" s="736" t="s">
        <v>5</v>
      </c>
      <c r="G82" s="736" t="s">
        <v>6</v>
      </c>
      <c r="H82" s="736" t="s">
        <v>7</v>
      </c>
      <c r="I82" s="736" t="s">
        <v>8</v>
      </c>
      <c r="J82" s="736" t="s">
        <v>9</v>
      </c>
      <c r="K82" s="736" t="s">
        <v>10</v>
      </c>
      <c r="L82" s="736" t="s">
        <v>11</v>
      </c>
      <c r="M82" s="736" t="s">
        <v>12</v>
      </c>
    </row>
    <row r="83" spans="1:14" ht="13.5" thickBot="1" x14ac:dyDescent="0.25">
      <c r="A83" s="737">
        <v>41615671</v>
      </c>
      <c r="B83" s="763">
        <f>$A$83*B81/100</f>
        <v>3857794</v>
      </c>
      <c r="C83" s="763">
        <f t="shared" ref="C83:M83" si="24">$A$83*C81/100</f>
        <v>4241547</v>
      </c>
      <c r="D83" s="763">
        <f t="shared" si="24"/>
        <v>3656814</v>
      </c>
      <c r="E83" s="763">
        <f t="shared" si="24"/>
        <v>3326313</v>
      </c>
      <c r="F83" s="763">
        <f t="shared" si="24"/>
        <v>3467171</v>
      </c>
      <c r="G83" s="763">
        <f t="shared" si="24"/>
        <v>2828843</v>
      </c>
      <c r="H83" s="763">
        <f t="shared" si="24"/>
        <v>3034290</v>
      </c>
      <c r="I83" s="763">
        <f t="shared" si="24"/>
        <v>3371319</v>
      </c>
      <c r="J83" s="763">
        <f t="shared" si="24"/>
        <v>3286460</v>
      </c>
      <c r="K83" s="763">
        <f t="shared" si="24"/>
        <v>3364448</v>
      </c>
      <c r="L83" s="763">
        <f t="shared" si="24"/>
        <v>3468202</v>
      </c>
      <c r="M83" s="763">
        <f t="shared" si="24"/>
        <v>3712470</v>
      </c>
      <c r="N83" s="649">
        <f>SUM(B83)</f>
        <v>3857794</v>
      </c>
    </row>
    <row r="84" spans="1:14" ht="13.5" thickBot="1" x14ac:dyDescent="0.25">
      <c r="A84" s="743">
        <v>0.22500000000000001</v>
      </c>
      <c r="B84" s="758">
        <v>0.22500000000000001</v>
      </c>
      <c r="C84" s="758">
        <v>0.22500000000000001</v>
      </c>
      <c r="D84" s="758">
        <v>0.22500000000000001</v>
      </c>
      <c r="E84" s="758">
        <v>0.22500000000000001</v>
      </c>
      <c r="F84" s="758">
        <v>0.22500000000000001</v>
      </c>
      <c r="G84" s="758">
        <v>0.22500000000000001</v>
      </c>
      <c r="H84" s="758">
        <v>0.22500000000000001</v>
      </c>
      <c r="I84" s="758">
        <v>0.22500000000000001</v>
      </c>
      <c r="J84" s="758">
        <v>0.22500000000000001</v>
      </c>
      <c r="K84" s="758">
        <v>0.22500000000000001</v>
      </c>
      <c r="L84" s="758">
        <v>0.22500000000000001</v>
      </c>
      <c r="M84" s="758">
        <v>0.22500000000000001</v>
      </c>
      <c r="N84" s="649"/>
    </row>
    <row r="85" spans="1:14" ht="13.5" thickBot="1" x14ac:dyDescent="0.25">
      <c r="A85" s="737">
        <f t="shared" ref="A85:M85" si="25">A83*A84</f>
        <v>9363525.9749999996</v>
      </c>
      <c r="B85" s="746">
        <f t="shared" si="25"/>
        <v>868003.65</v>
      </c>
      <c r="C85" s="746">
        <f t="shared" si="25"/>
        <v>954348.07500000007</v>
      </c>
      <c r="D85" s="746">
        <f t="shared" si="25"/>
        <v>822783.15</v>
      </c>
      <c r="E85" s="746">
        <f t="shared" si="25"/>
        <v>748420.42500000005</v>
      </c>
      <c r="F85" s="746">
        <f t="shared" si="25"/>
        <v>780113.47499999998</v>
      </c>
      <c r="G85" s="746">
        <f t="shared" si="25"/>
        <v>636489.67500000005</v>
      </c>
      <c r="H85" s="746">
        <f t="shared" si="25"/>
        <v>682715.25</v>
      </c>
      <c r="I85" s="746">
        <f t="shared" si="25"/>
        <v>758546.77500000002</v>
      </c>
      <c r="J85" s="746">
        <f t="shared" si="25"/>
        <v>739453.5</v>
      </c>
      <c r="K85" s="746">
        <f t="shared" si="25"/>
        <v>757000.8</v>
      </c>
      <c r="L85" s="746">
        <f t="shared" si="25"/>
        <v>780345.45000000007</v>
      </c>
      <c r="M85" s="746">
        <f t="shared" si="25"/>
        <v>835305.75</v>
      </c>
      <c r="N85" s="649">
        <f>SUM(B85)</f>
        <v>868003.65</v>
      </c>
    </row>
    <row r="86" spans="1:14" x14ac:dyDescent="0.2">
      <c r="A86" s="747" t="s">
        <v>392</v>
      </c>
      <c r="B86" s="748">
        <v>630182.47499999998</v>
      </c>
      <c r="C86" s="748">
        <v>453572.32500000001</v>
      </c>
      <c r="D86" s="748">
        <v>421343.77500000002</v>
      </c>
      <c r="E86" s="748">
        <v>466421.4</v>
      </c>
      <c r="F86" s="748">
        <v>407954.92499999999</v>
      </c>
      <c r="G86" s="748">
        <v>436274.32500000001</v>
      </c>
      <c r="H86" s="748">
        <v>435245.4</v>
      </c>
      <c r="I86" s="748">
        <v>416192.625</v>
      </c>
      <c r="J86" s="748">
        <v>432105.07500000001</v>
      </c>
      <c r="K86" s="748">
        <v>412083.67499999999</v>
      </c>
      <c r="L86" s="748">
        <v>462016.125</v>
      </c>
      <c r="M86" s="748">
        <v>503765.77500000002</v>
      </c>
      <c r="N86" s="649"/>
    </row>
    <row r="87" spans="1:14" ht="13.5" thickBot="1" x14ac:dyDescent="0.25">
      <c r="A87" s="747" t="s">
        <v>393</v>
      </c>
      <c r="B87" s="748">
        <f>B85-B86</f>
        <v>237821.17500000005</v>
      </c>
      <c r="C87" s="748">
        <f t="shared" ref="C87:M87" si="26">C85-C86</f>
        <v>500775.75000000006</v>
      </c>
      <c r="D87" s="748">
        <f t="shared" si="26"/>
        <v>401439.375</v>
      </c>
      <c r="E87" s="748">
        <f t="shared" si="26"/>
        <v>281999.02500000002</v>
      </c>
      <c r="F87" s="748">
        <f t="shared" si="26"/>
        <v>372158.55</v>
      </c>
      <c r="G87" s="748">
        <f t="shared" si="26"/>
        <v>200215.35000000003</v>
      </c>
      <c r="H87" s="748">
        <f t="shared" si="26"/>
        <v>247469.84999999998</v>
      </c>
      <c r="I87" s="748">
        <f t="shared" si="26"/>
        <v>342354.15</v>
      </c>
      <c r="J87" s="748">
        <f t="shared" si="26"/>
        <v>307348.42499999999</v>
      </c>
      <c r="K87" s="748">
        <f t="shared" si="26"/>
        <v>344917.12500000006</v>
      </c>
      <c r="L87" s="748">
        <f t="shared" si="26"/>
        <v>318329.32500000007</v>
      </c>
      <c r="M87" s="748">
        <f t="shared" si="26"/>
        <v>331539.97499999998</v>
      </c>
    </row>
    <row r="88" spans="1:14" ht="13.5" thickBot="1" x14ac:dyDescent="0.25">
      <c r="A88" s="749" t="s">
        <v>394</v>
      </c>
      <c r="B88" s="750">
        <f>B86+B87</f>
        <v>868003.65</v>
      </c>
      <c r="C88" s="750">
        <f t="shared" ref="C88:M88" si="27">C86+C87</f>
        <v>954348.07500000007</v>
      </c>
      <c r="D88" s="750">
        <f t="shared" si="27"/>
        <v>822783.15</v>
      </c>
      <c r="E88" s="750">
        <f t="shared" si="27"/>
        <v>748420.42500000005</v>
      </c>
      <c r="F88" s="750">
        <f t="shared" si="27"/>
        <v>780113.47499999998</v>
      </c>
      <c r="G88" s="750">
        <f t="shared" si="27"/>
        <v>636489.67500000005</v>
      </c>
      <c r="H88" s="750">
        <f t="shared" si="27"/>
        <v>682715.25</v>
      </c>
      <c r="I88" s="750">
        <f t="shared" si="27"/>
        <v>758546.77500000002</v>
      </c>
      <c r="J88" s="750">
        <f t="shared" si="27"/>
        <v>739453.5</v>
      </c>
      <c r="K88" s="750">
        <f t="shared" si="27"/>
        <v>757000.8</v>
      </c>
      <c r="L88" s="750">
        <f t="shared" si="27"/>
        <v>780345.45000000007</v>
      </c>
      <c r="M88" s="750">
        <f t="shared" si="27"/>
        <v>835305.75</v>
      </c>
    </row>
    <row r="89" spans="1:14" x14ac:dyDescent="0.2">
      <c r="A89" s="760"/>
    </row>
    <row r="90" spans="1:14" x14ac:dyDescent="0.2">
      <c r="A90" s="1255" t="s">
        <v>390</v>
      </c>
      <c r="B90" s="1255"/>
      <c r="C90" s="1255"/>
      <c r="D90" s="1255"/>
      <c r="E90" s="1255"/>
      <c r="F90" s="1255"/>
      <c r="G90" s="1255"/>
      <c r="H90" s="1255"/>
      <c r="I90" s="1255"/>
      <c r="J90" s="1255"/>
      <c r="K90" s="1255"/>
      <c r="L90" s="1255"/>
      <c r="M90" s="1255"/>
    </row>
    <row r="91" spans="1:14" x14ac:dyDescent="0.2">
      <c r="A91" s="1260" t="s">
        <v>474</v>
      </c>
      <c r="B91" s="1260"/>
      <c r="C91" s="1260"/>
      <c r="D91" s="1260"/>
      <c r="E91" s="1260"/>
      <c r="F91" s="1260"/>
      <c r="G91" s="1260"/>
      <c r="H91" s="1260"/>
      <c r="I91" s="1260"/>
      <c r="J91" s="1260"/>
      <c r="K91" s="1260"/>
      <c r="L91" s="1260"/>
      <c r="M91" s="1260"/>
    </row>
    <row r="92" spans="1:14" x14ac:dyDescent="0.2">
      <c r="A92" s="764"/>
      <c r="B92" s="734"/>
      <c r="C92" s="734"/>
      <c r="D92" s="734"/>
      <c r="E92" s="734"/>
      <c r="F92" s="734"/>
      <c r="G92" s="734"/>
      <c r="H92" s="734"/>
      <c r="I92" s="734"/>
      <c r="J92" s="734"/>
      <c r="K92" s="734"/>
      <c r="L92" s="734"/>
      <c r="M92" s="734"/>
    </row>
    <row r="93" spans="1:14" ht="13.5" thickBot="1" x14ac:dyDescent="0.25">
      <c r="A93" s="752">
        <f>SUM(B93:M93)</f>
        <v>99.999999999999957</v>
      </c>
      <c r="B93" s="752">
        <f>'X22.55 DOF'!B74</f>
        <v>8.3333333333333321</v>
      </c>
      <c r="C93" s="752">
        <f>'X22.55 DOF'!C74</f>
        <v>8.3333333333333321</v>
      </c>
      <c r="D93" s="752">
        <f>'X22.55 DOF'!D74</f>
        <v>8.3333333333333321</v>
      </c>
      <c r="E93" s="752">
        <f>'X22.55 DOF'!E74</f>
        <v>8.3333333333333321</v>
      </c>
      <c r="F93" s="752">
        <f>'X22.55 DOF'!F74</f>
        <v>8.3333333333333321</v>
      </c>
      <c r="G93" s="752">
        <f>'X22.55 DOF'!G74</f>
        <v>8.3333333333333321</v>
      </c>
      <c r="H93" s="752">
        <f>'X22.55 DOF'!H74</f>
        <v>8.3333333333333321</v>
      </c>
      <c r="I93" s="752">
        <f>'X22.55 DOF'!I74</f>
        <v>8.3333333333333321</v>
      </c>
      <c r="J93" s="752">
        <f>'X22.55 DOF'!J74</f>
        <v>8.3333333333333321</v>
      </c>
      <c r="K93" s="752">
        <f>'X22.55 DOF'!K74</f>
        <v>8.3333333333333321</v>
      </c>
      <c r="L93" s="752">
        <f>'X22.55 DOF'!L74</f>
        <v>8.3333333333333321</v>
      </c>
      <c r="M93" s="752">
        <f>'X22.55 DOF'!M74</f>
        <v>8.3333333333333321</v>
      </c>
    </row>
    <row r="94" spans="1:14" ht="13.5" thickBot="1" x14ac:dyDescent="0.25">
      <c r="A94" s="736" t="s">
        <v>391</v>
      </c>
      <c r="B94" s="736" t="s">
        <v>1</v>
      </c>
      <c r="C94" s="736" t="s">
        <v>2</v>
      </c>
      <c r="D94" s="736" t="s">
        <v>3</v>
      </c>
      <c r="E94" s="736" t="s">
        <v>4</v>
      </c>
      <c r="F94" s="736" t="s">
        <v>5</v>
      </c>
      <c r="G94" s="736" t="s">
        <v>6</v>
      </c>
      <c r="H94" s="736" t="s">
        <v>7</v>
      </c>
      <c r="I94" s="736" t="s">
        <v>8</v>
      </c>
      <c r="J94" s="736" t="s">
        <v>9</v>
      </c>
      <c r="K94" s="736" t="s">
        <v>10</v>
      </c>
      <c r="L94" s="736" t="s">
        <v>11</v>
      </c>
      <c r="M94" s="736" t="s">
        <v>12</v>
      </c>
    </row>
    <row r="95" spans="1:14" ht="13.5" thickBot="1" x14ac:dyDescent="0.25">
      <c r="A95" s="746">
        <v>11660569</v>
      </c>
      <c r="B95" s="763">
        <f>$A$95*B93/100</f>
        <v>971714.08333333314</v>
      </c>
      <c r="C95" s="763">
        <f t="shared" ref="C95:M95" si="28">$A$95*C93/100</f>
        <v>971714.08333333314</v>
      </c>
      <c r="D95" s="763">
        <f t="shared" si="28"/>
        <v>971714.08333333314</v>
      </c>
      <c r="E95" s="763">
        <f t="shared" si="28"/>
        <v>971714.08333333314</v>
      </c>
      <c r="F95" s="763">
        <f t="shared" si="28"/>
        <v>971714.08333333314</v>
      </c>
      <c r="G95" s="763">
        <f t="shared" si="28"/>
        <v>971714.08333333314</v>
      </c>
      <c r="H95" s="763">
        <f t="shared" si="28"/>
        <v>971714.08333333314</v>
      </c>
      <c r="I95" s="763">
        <f t="shared" si="28"/>
        <v>971714.08333333314</v>
      </c>
      <c r="J95" s="763">
        <f t="shared" si="28"/>
        <v>971714.08333333314</v>
      </c>
      <c r="K95" s="763">
        <f t="shared" si="28"/>
        <v>971714.08333333314</v>
      </c>
      <c r="L95" s="763">
        <f t="shared" si="28"/>
        <v>971714.08333333314</v>
      </c>
      <c r="M95" s="763">
        <f t="shared" si="28"/>
        <v>971714.08333333314</v>
      </c>
      <c r="N95" s="649">
        <f>SUM(B95)</f>
        <v>971714.08333333314</v>
      </c>
    </row>
    <row r="96" spans="1:14" ht="13.5" thickBot="1" x14ac:dyDescent="0.25">
      <c r="A96" s="758">
        <v>0.22500000000000001</v>
      </c>
      <c r="B96" s="758">
        <v>0.22500000000000001</v>
      </c>
      <c r="C96" s="758">
        <v>0.22500000000000001</v>
      </c>
      <c r="D96" s="758">
        <v>0.22500000000000001</v>
      </c>
      <c r="E96" s="758">
        <v>0.22500000000000001</v>
      </c>
      <c r="F96" s="758">
        <v>0.22500000000000001</v>
      </c>
      <c r="G96" s="758">
        <v>0.22500000000000001</v>
      </c>
      <c r="H96" s="758">
        <v>0.22500000000000001</v>
      </c>
      <c r="I96" s="758">
        <v>0.22500000000000001</v>
      </c>
      <c r="J96" s="758">
        <v>0.22500000000000001</v>
      </c>
      <c r="K96" s="758">
        <v>0.22500000000000001</v>
      </c>
      <c r="L96" s="758">
        <v>0.22500000000000001</v>
      </c>
      <c r="M96" s="758">
        <v>0.22500000000000001</v>
      </c>
      <c r="N96" s="649"/>
    </row>
    <row r="97" spans="1:16" ht="13.5" thickBot="1" x14ac:dyDescent="0.25">
      <c r="A97" s="746">
        <f t="shared" ref="A97:M97" si="29">A95*A96</f>
        <v>2623628.0249999999</v>
      </c>
      <c r="B97" s="746">
        <f t="shared" si="29"/>
        <v>218635.66874999995</v>
      </c>
      <c r="C97" s="746">
        <f t="shared" si="29"/>
        <v>218635.66874999995</v>
      </c>
      <c r="D97" s="746">
        <f t="shared" si="29"/>
        <v>218635.66874999995</v>
      </c>
      <c r="E97" s="746">
        <f t="shared" si="29"/>
        <v>218635.66874999995</v>
      </c>
      <c r="F97" s="746">
        <f t="shared" si="29"/>
        <v>218635.66874999995</v>
      </c>
      <c r="G97" s="746">
        <f t="shared" si="29"/>
        <v>218635.66874999995</v>
      </c>
      <c r="H97" s="746">
        <f t="shared" si="29"/>
        <v>218635.66874999995</v>
      </c>
      <c r="I97" s="746">
        <f t="shared" si="29"/>
        <v>218635.66874999995</v>
      </c>
      <c r="J97" s="746">
        <f t="shared" si="29"/>
        <v>218635.66874999995</v>
      </c>
      <c r="K97" s="746">
        <f t="shared" si="29"/>
        <v>218635.66874999995</v>
      </c>
      <c r="L97" s="746">
        <f t="shared" si="29"/>
        <v>218635.66874999995</v>
      </c>
      <c r="M97" s="746">
        <f t="shared" si="29"/>
        <v>218635.66874999995</v>
      </c>
      <c r="N97" s="649">
        <f>SUM(B97)</f>
        <v>218635.66874999995</v>
      </c>
    </row>
    <row r="98" spans="1:16" x14ac:dyDescent="0.2">
      <c r="A98" s="748" t="s">
        <v>392</v>
      </c>
      <c r="B98" s="748">
        <v>157893.75</v>
      </c>
      <c r="C98" s="748">
        <v>157893.75</v>
      </c>
      <c r="D98" s="748">
        <v>157893.75</v>
      </c>
      <c r="E98" s="748">
        <v>157893.75</v>
      </c>
      <c r="F98" s="748">
        <v>157893.75</v>
      </c>
      <c r="G98" s="748">
        <v>157893.75</v>
      </c>
      <c r="H98" s="748">
        <v>157893.75</v>
      </c>
      <c r="I98" s="748">
        <v>157893.75</v>
      </c>
      <c r="J98" s="748">
        <v>157893.75</v>
      </c>
      <c r="K98" s="748">
        <v>157893.75</v>
      </c>
      <c r="L98" s="748">
        <v>157893.75</v>
      </c>
      <c r="M98" s="748">
        <v>157894.875</v>
      </c>
    </row>
    <row r="99" spans="1:16" ht="13.5" thickBot="1" x14ac:dyDescent="0.25">
      <c r="A99" s="748" t="s">
        <v>393</v>
      </c>
      <c r="B99" s="748">
        <f>B97-B98</f>
        <v>60741.918749999953</v>
      </c>
      <c r="C99" s="748">
        <f t="shared" ref="C99:M99" si="30">C97-C98</f>
        <v>60741.918749999953</v>
      </c>
      <c r="D99" s="748">
        <f t="shared" si="30"/>
        <v>60741.918749999953</v>
      </c>
      <c r="E99" s="748">
        <f t="shared" si="30"/>
        <v>60741.918749999953</v>
      </c>
      <c r="F99" s="748">
        <f t="shared" si="30"/>
        <v>60741.918749999953</v>
      </c>
      <c r="G99" s="748">
        <f t="shared" si="30"/>
        <v>60741.918749999953</v>
      </c>
      <c r="H99" s="748">
        <f t="shared" si="30"/>
        <v>60741.918749999953</v>
      </c>
      <c r="I99" s="748">
        <f t="shared" si="30"/>
        <v>60741.918749999953</v>
      </c>
      <c r="J99" s="748">
        <f t="shared" si="30"/>
        <v>60741.918749999953</v>
      </c>
      <c r="K99" s="748">
        <f t="shared" si="30"/>
        <v>60741.918749999953</v>
      </c>
      <c r="L99" s="748">
        <f t="shared" si="30"/>
        <v>60741.918749999953</v>
      </c>
      <c r="M99" s="748">
        <f t="shared" si="30"/>
        <v>60740.793749999953</v>
      </c>
    </row>
    <row r="100" spans="1:16" ht="13.5" thickBot="1" x14ac:dyDescent="0.25">
      <c r="A100" s="765" t="s">
        <v>394</v>
      </c>
      <c r="B100" s="750">
        <f>B98+B99</f>
        <v>218635.66874999995</v>
      </c>
      <c r="C100" s="750">
        <f t="shared" ref="C100:M100" si="31">C98+C99</f>
        <v>218635.66874999995</v>
      </c>
      <c r="D100" s="750">
        <f t="shared" si="31"/>
        <v>218635.66874999995</v>
      </c>
      <c r="E100" s="750">
        <f t="shared" si="31"/>
        <v>218635.66874999995</v>
      </c>
      <c r="F100" s="750">
        <f t="shared" si="31"/>
        <v>218635.66874999995</v>
      </c>
      <c r="G100" s="750">
        <f t="shared" si="31"/>
        <v>218635.66874999995</v>
      </c>
      <c r="H100" s="750">
        <f t="shared" si="31"/>
        <v>218635.66874999995</v>
      </c>
      <c r="I100" s="750">
        <f t="shared" si="31"/>
        <v>218635.66874999995</v>
      </c>
      <c r="J100" s="750">
        <f t="shared" si="31"/>
        <v>218635.66874999995</v>
      </c>
      <c r="K100" s="750">
        <f t="shared" si="31"/>
        <v>218635.66874999995</v>
      </c>
      <c r="L100" s="750">
        <f t="shared" si="31"/>
        <v>218635.66874999995</v>
      </c>
      <c r="M100" s="750">
        <f t="shared" si="31"/>
        <v>218635.66874999995</v>
      </c>
    </row>
    <row r="101" spans="1:16" x14ac:dyDescent="0.2">
      <c r="A101" s="1261"/>
      <c r="B101" s="1261"/>
      <c r="C101" s="1261"/>
      <c r="D101" s="1261"/>
      <c r="E101" s="1261"/>
      <c r="F101" s="1261"/>
      <c r="G101" s="1261"/>
      <c r="H101" s="1261"/>
      <c r="I101" s="1261"/>
      <c r="J101" s="1261"/>
      <c r="K101" s="1261"/>
      <c r="L101" s="1261"/>
      <c r="M101" s="1261"/>
    </row>
    <row r="102" spans="1:16" x14ac:dyDescent="0.2">
      <c r="A102" s="882"/>
      <c r="B102" s="882"/>
      <c r="C102" s="882"/>
      <c r="D102" s="882"/>
      <c r="E102" s="882"/>
      <c r="F102" s="882"/>
      <c r="G102" s="882"/>
      <c r="H102" s="882"/>
      <c r="I102" s="882"/>
      <c r="J102" s="882"/>
      <c r="K102" s="882"/>
      <c r="L102" s="882"/>
      <c r="M102" s="882"/>
    </row>
    <row r="103" spans="1:16" x14ac:dyDescent="0.2">
      <c r="A103" s="1255" t="s">
        <v>390</v>
      </c>
      <c r="B103" s="1255"/>
      <c r="C103" s="1255"/>
      <c r="D103" s="1255"/>
      <c r="E103" s="1255"/>
      <c r="F103" s="1255"/>
      <c r="G103" s="1255"/>
      <c r="H103" s="1255"/>
      <c r="I103" s="1255"/>
      <c r="J103" s="1255"/>
      <c r="K103" s="1255"/>
      <c r="L103" s="1255"/>
      <c r="M103" s="1255"/>
    </row>
    <row r="104" spans="1:16" x14ac:dyDescent="0.2">
      <c r="A104" s="1260" t="s">
        <v>475</v>
      </c>
      <c r="B104" s="1260"/>
      <c r="C104" s="1260"/>
      <c r="D104" s="1260"/>
      <c r="E104" s="1260"/>
      <c r="F104" s="1260"/>
      <c r="G104" s="1260"/>
      <c r="H104" s="1260"/>
      <c r="I104" s="1260"/>
      <c r="J104" s="1260"/>
      <c r="K104" s="1260"/>
      <c r="L104" s="1260"/>
      <c r="M104" s="1260"/>
    </row>
    <row r="105" spans="1:16" x14ac:dyDescent="0.2">
      <c r="A105" s="733"/>
      <c r="B105" s="734"/>
      <c r="C105" s="734"/>
      <c r="D105" s="734"/>
      <c r="E105" s="734"/>
      <c r="F105" s="734"/>
      <c r="G105" s="734"/>
      <c r="H105" s="734"/>
      <c r="I105" s="734"/>
      <c r="J105" s="734"/>
      <c r="K105" s="734"/>
      <c r="L105" s="734"/>
      <c r="M105" s="734"/>
    </row>
    <row r="106" spans="1:16" ht="13.5" thickBot="1" x14ac:dyDescent="0.25">
      <c r="A106" s="751">
        <f>SUM(B106:M106)</f>
        <v>99.999999999999986</v>
      </c>
      <c r="B106" s="752">
        <v>11.4799775639842</v>
      </c>
      <c r="C106" s="752">
        <v>8.2205002016884894</v>
      </c>
      <c r="D106" s="752">
        <v>7.6271264178392419</v>
      </c>
      <c r="E106" s="752">
        <v>8.4486521507363079</v>
      </c>
      <c r="F106" s="752">
        <v>7.3950324295005618</v>
      </c>
      <c r="G106" s="752">
        <v>7.9243134782395881</v>
      </c>
      <c r="H106" s="752">
        <v>7.9660192259226603</v>
      </c>
      <c r="I106" s="752">
        <v>7.685023390092109</v>
      </c>
      <c r="J106" s="752">
        <v>7.9626149171669605</v>
      </c>
      <c r="K106" s="752">
        <v>7.5835623366890621</v>
      </c>
      <c r="L106" s="752">
        <v>8.5190988047436367</v>
      </c>
      <c r="M106" s="752">
        <v>9.1880790833971826</v>
      </c>
    </row>
    <row r="107" spans="1:16" ht="13.5" thickBot="1" x14ac:dyDescent="0.25">
      <c r="A107" s="735" t="s">
        <v>391</v>
      </c>
      <c r="B107" s="736" t="s">
        <v>1</v>
      </c>
      <c r="C107" s="736" t="s">
        <v>2</v>
      </c>
      <c r="D107" s="736" t="s">
        <v>3</v>
      </c>
      <c r="E107" s="736" t="s">
        <v>4</v>
      </c>
      <c r="F107" s="736" t="s">
        <v>5</v>
      </c>
      <c r="G107" s="736" t="s">
        <v>6</v>
      </c>
      <c r="H107" s="736" t="s">
        <v>7</v>
      </c>
      <c r="I107" s="736" t="s">
        <v>8</v>
      </c>
      <c r="J107" s="736" t="s">
        <v>9</v>
      </c>
      <c r="K107" s="736" t="s">
        <v>10</v>
      </c>
      <c r="L107" s="736" t="s">
        <v>11</v>
      </c>
      <c r="M107" s="736" t="s">
        <v>12</v>
      </c>
    </row>
    <row r="108" spans="1:16" ht="13.5" thickBot="1" x14ac:dyDescent="0.25">
      <c r="A108" s="737">
        <v>41615671</v>
      </c>
      <c r="B108" s="763">
        <f>B83+B95</f>
        <v>4829508.083333333</v>
      </c>
      <c r="C108" s="763">
        <f t="shared" ref="C108:M108" si="32">C83+C95</f>
        <v>5213261.083333333</v>
      </c>
      <c r="D108" s="763">
        <f t="shared" si="32"/>
        <v>4628528.083333333</v>
      </c>
      <c r="E108" s="763">
        <f t="shared" si="32"/>
        <v>4298027.083333333</v>
      </c>
      <c r="F108" s="763">
        <f t="shared" si="32"/>
        <v>4438885.083333333</v>
      </c>
      <c r="G108" s="763">
        <f t="shared" si="32"/>
        <v>3800557.083333333</v>
      </c>
      <c r="H108" s="763">
        <f t="shared" si="32"/>
        <v>4006004.083333333</v>
      </c>
      <c r="I108" s="763">
        <f t="shared" si="32"/>
        <v>4343033.083333333</v>
      </c>
      <c r="J108" s="763">
        <f t="shared" si="32"/>
        <v>4258174.083333333</v>
      </c>
      <c r="K108" s="763">
        <f t="shared" si="32"/>
        <v>4336162.083333333</v>
      </c>
      <c r="L108" s="763">
        <f t="shared" si="32"/>
        <v>4439916.083333333</v>
      </c>
      <c r="M108" s="763">
        <f t="shared" si="32"/>
        <v>4684184.083333333</v>
      </c>
      <c r="N108" s="739">
        <f>SUM(B108)</f>
        <v>4829508.083333333</v>
      </c>
      <c r="P108" s="649"/>
    </row>
    <row r="109" spans="1:16" ht="13.5" thickBot="1" x14ac:dyDescent="0.25">
      <c r="A109" s="743">
        <v>0.22500000000000001</v>
      </c>
      <c r="B109" s="758">
        <v>0.22500000000000001</v>
      </c>
      <c r="C109" s="758">
        <v>0.22500000000000001</v>
      </c>
      <c r="D109" s="758">
        <v>0.22500000000000001</v>
      </c>
      <c r="E109" s="758">
        <v>0.22500000000000001</v>
      </c>
      <c r="F109" s="758">
        <v>0.22500000000000001</v>
      </c>
      <c r="G109" s="758">
        <v>0.22500000000000001</v>
      </c>
      <c r="H109" s="758">
        <v>0.22500000000000001</v>
      </c>
      <c r="I109" s="758">
        <v>0.22500000000000001</v>
      </c>
      <c r="J109" s="758">
        <v>0.22500000000000001</v>
      </c>
      <c r="K109" s="758">
        <v>0.22500000000000001</v>
      </c>
      <c r="L109" s="758">
        <v>0.22500000000000001</v>
      </c>
      <c r="M109" s="758">
        <v>0.22500000000000001</v>
      </c>
      <c r="N109" s="739"/>
      <c r="P109" s="649"/>
    </row>
    <row r="110" spans="1:16" ht="13.5" thickBot="1" x14ac:dyDescent="0.25">
      <c r="A110" s="737">
        <f>A108*A109</f>
        <v>9363525.9749999996</v>
      </c>
      <c r="B110" s="746">
        <f>B85+B97</f>
        <v>1086639.3187500001</v>
      </c>
      <c r="C110" s="746">
        <f t="shared" ref="C110:M110" si="33">C85+C97</f>
        <v>1172983.7437499999</v>
      </c>
      <c r="D110" s="746">
        <f t="shared" si="33"/>
        <v>1041418.81875</v>
      </c>
      <c r="E110" s="746">
        <f t="shared" si="33"/>
        <v>967056.09375</v>
      </c>
      <c r="F110" s="746">
        <f t="shared" si="33"/>
        <v>998749.14374999993</v>
      </c>
      <c r="G110" s="746">
        <f t="shared" si="33"/>
        <v>855125.34375</v>
      </c>
      <c r="H110" s="746">
        <f t="shared" si="33"/>
        <v>901350.91874999995</v>
      </c>
      <c r="I110" s="746">
        <f t="shared" si="33"/>
        <v>977182.44374999998</v>
      </c>
      <c r="J110" s="746">
        <f t="shared" si="33"/>
        <v>958089.16874999995</v>
      </c>
      <c r="K110" s="746">
        <f t="shared" si="33"/>
        <v>975636.46875</v>
      </c>
      <c r="L110" s="746">
        <f t="shared" si="33"/>
        <v>998981.11875000002</v>
      </c>
      <c r="M110" s="746">
        <f t="shared" si="33"/>
        <v>1053941.41875</v>
      </c>
      <c r="N110" s="739">
        <f>SUM(B110)</f>
        <v>1086639.3187500001</v>
      </c>
    </row>
    <row r="111" spans="1:16" x14ac:dyDescent="0.2">
      <c r="A111" s="747" t="s">
        <v>392</v>
      </c>
      <c r="B111" s="748">
        <v>630182.47499999998</v>
      </c>
      <c r="C111" s="748">
        <v>453572.32500000001</v>
      </c>
      <c r="D111" s="748">
        <v>421343.77500000002</v>
      </c>
      <c r="E111" s="748">
        <v>466421.4</v>
      </c>
      <c r="F111" s="748">
        <v>407954.92499999999</v>
      </c>
      <c r="G111" s="748">
        <v>436274.32500000001</v>
      </c>
      <c r="H111" s="748">
        <v>435245.4</v>
      </c>
      <c r="I111" s="748">
        <v>416192.625</v>
      </c>
      <c r="J111" s="748">
        <v>432105.07500000001</v>
      </c>
      <c r="K111" s="748">
        <v>412083.67499999999</v>
      </c>
      <c r="L111" s="748">
        <v>462016.125</v>
      </c>
      <c r="M111" s="748">
        <v>503765.77500000002</v>
      </c>
    </row>
    <row r="112" spans="1:16" ht="13.5" thickBot="1" x14ac:dyDescent="0.25">
      <c r="A112" s="747" t="s">
        <v>393</v>
      </c>
      <c r="B112" s="748">
        <f>B110-B111</f>
        <v>456456.84375000012</v>
      </c>
      <c r="C112" s="748">
        <f t="shared" ref="C112:M112" si="34">C110-C111</f>
        <v>719411.41874999995</v>
      </c>
      <c r="D112" s="748">
        <f t="shared" si="34"/>
        <v>620075.04374999995</v>
      </c>
      <c r="E112" s="748">
        <f t="shared" si="34"/>
        <v>500634.69374999998</v>
      </c>
      <c r="F112" s="748">
        <f t="shared" si="34"/>
        <v>590794.21875</v>
      </c>
      <c r="G112" s="748">
        <f t="shared" si="34"/>
        <v>418851.01874999999</v>
      </c>
      <c r="H112" s="748">
        <f t="shared" si="34"/>
        <v>466105.51874999993</v>
      </c>
      <c r="I112" s="748">
        <f t="shared" si="34"/>
        <v>560989.81874999998</v>
      </c>
      <c r="J112" s="748">
        <f t="shared" si="34"/>
        <v>525984.09375</v>
      </c>
      <c r="K112" s="748">
        <f t="shared" si="34"/>
        <v>563552.79374999995</v>
      </c>
      <c r="L112" s="748">
        <f t="shared" si="34"/>
        <v>536964.99375000002</v>
      </c>
      <c r="M112" s="748">
        <f t="shared" si="34"/>
        <v>550175.64374999993</v>
      </c>
    </row>
    <row r="113" spans="1:14" ht="13.5" thickBot="1" x14ac:dyDescent="0.25">
      <c r="A113" s="749" t="s">
        <v>394</v>
      </c>
      <c r="B113" s="750">
        <f>B111+B112</f>
        <v>1086639.3187500001</v>
      </c>
      <c r="C113" s="750">
        <f t="shared" ref="C113:M113" si="35">C111+C112</f>
        <v>1172983.7437499999</v>
      </c>
      <c r="D113" s="750">
        <f t="shared" si="35"/>
        <v>1041418.81875</v>
      </c>
      <c r="E113" s="750">
        <f t="shared" si="35"/>
        <v>967056.09375</v>
      </c>
      <c r="F113" s="750">
        <f t="shared" si="35"/>
        <v>998749.14375000005</v>
      </c>
      <c r="G113" s="750">
        <f t="shared" si="35"/>
        <v>855125.34375</v>
      </c>
      <c r="H113" s="750">
        <f t="shared" si="35"/>
        <v>901350.91874999995</v>
      </c>
      <c r="I113" s="750">
        <f t="shared" si="35"/>
        <v>977182.44374999998</v>
      </c>
      <c r="J113" s="750">
        <f t="shared" si="35"/>
        <v>958089.16874999995</v>
      </c>
      <c r="K113" s="750">
        <f t="shared" si="35"/>
        <v>975636.46875</v>
      </c>
      <c r="L113" s="750">
        <f t="shared" si="35"/>
        <v>998981.11875000002</v>
      </c>
      <c r="M113" s="750">
        <f t="shared" si="35"/>
        <v>1053941.41875</v>
      </c>
    </row>
    <row r="114" spans="1:14" x14ac:dyDescent="0.2">
      <c r="A114" s="883"/>
      <c r="B114" s="882"/>
      <c r="C114" s="882"/>
      <c r="D114" s="882"/>
      <c r="E114" s="882"/>
      <c r="F114" s="882"/>
      <c r="G114" s="882"/>
      <c r="H114" s="882"/>
      <c r="I114" s="882"/>
      <c r="J114" s="882"/>
      <c r="K114" s="882"/>
      <c r="L114" s="882"/>
      <c r="M114" s="882"/>
    </row>
    <row r="115" spans="1:14" x14ac:dyDescent="0.2">
      <c r="A115" s="1262"/>
      <c r="B115" s="1262"/>
      <c r="C115" s="1262"/>
      <c r="D115" s="1262"/>
      <c r="E115" s="1262"/>
      <c r="F115" s="1262"/>
      <c r="G115" s="1262"/>
      <c r="H115" s="1262"/>
      <c r="I115" s="1262"/>
      <c r="J115" s="1262"/>
      <c r="K115" s="1262"/>
      <c r="L115" s="1262"/>
      <c r="M115" s="1262"/>
    </row>
    <row r="116" spans="1:14" x14ac:dyDescent="0.2">
      <c r="A116" s="1255" t="s">
        <v>390</v>
      </c>
      <c r="B116" s="1255"/>
      <c r="C116" s="1255"/>
      <c r="D116" s="1255"/>
      <c r="E116" s="1255"/>
      <c r="F116" s="1255"/>
      <c r="G116" s="1255"/>
      <c r="H116" s="1255"/>
      <c r="I116" s="1255"/>
      <c r="J116" s="1255"/>
      <c r="K116" s="1255"/>
      <c r="L116" s="1255"/>
      <c r="M116" s="1255"/>
    </row>
    <row r="117" spans="1:14" x14ac:dyDescent="0.2">
      <c r="A117" s="1260" t="s">
        <v>476</v>
      </c>
      <c r="B117" s="1260"/>
      <c r="C117" s="1260"/>
      <c r="D117" s="1260"/>
      <c r="E117" s="1260"/>
      <c r="F117" s="1260"/>
      <c r="G117" s="1260"/>
      <c r="H117" s="1260"/>
      <c r="I117" s="1260"/>
      <c r="J117" s="1260"/>
      <c r="K117" s="1260"/>
      <c r="L117" s="1260"/>
      <c r="M117" s="1260"/>
      <c r="N117" s="766"/>
    </row>
    <row r="118" spans="1:14" ht="13.5" thickBot="1" x14ac:dyDescent="0.25">
      <c r="A118" s="767">
        <f>SUM(B118:M118)</f>
        <v>99.999999999999986</v>
      </c>
      <c r="B118" s="768">
        <f>'X22.55 DOF'!B84</f>
        <v>10.753411058589904</v>
      </c>
      <c r="C118" s="768">
        <f>'X22.55 DOF'!C84</f>
        <v>9.984026136181507</v>
      </c>
      <c r="D118" s="768">
        <f>'X22.55 DOF'!D84</f>
        <v>8.1812459438793272</v>
      </c>
      <c r="E118" s="768">
        <f>'X22.55 DOF'!E84</f>
        <v>7.9312875025419434</v>
      </c>
      <c r="F118" s="768">
        <f>'X22.55 DOF'!F84</f>
        <v>7.1235060513125603</v>
      </c>
      <c r="G118" s="768">
        <f>'X22.55 DOF'!G84</f>
        <v>6.3143257159134034</v>
      </c>
      <c r="H118" s="768">
        <f>'X22.55 DOF'!H84</f>
        <v>7.6737552201396193</v>
      </c>
      <c r="I118" s="768">
        <f>'X22.55 DOF'!I84</f>
        <v>8.9837203845213036</v>
      </c>
      <c r="J118" s="768">
        <f>'X22.55 DOF'!J84</f>
        <v>9.062660126138697</v>
      </c>
      <c r="K118" s="768">
        <f>'X22.55 DOF'!K84</f>
        <v>6.7582980748944657</v>
      </c>
      <c r="L118" s="768">
        <f>'X22.55 DOF'!L84</f>
        <v>9.6172047816827195</v>
      </c>
      <c r="M118" s="768">
        <f>'X22.55 DOF'!M84</f>
        <v>7.6165590042045528</v>
      </c>
      <c r="N118" s="766"/>
    </row>
    <row r="119" spans="1:14" ht="13.5" thickBot="1" x14ac:dyDescent="0.25">
      <c r="A119" s="735" t="s">
        <v>391</v>
      </c>
      <c r="B119" s="736" t="s">
        <v>1</v>
      </c>
      <c r="C119" s="736" t="s">
        <v>2</v>
      </c>
      <c r="D119" s="736" t="s">
        <v>3</v>
      </c>
      <c r="E119" s="736" t="s">
        <v>4</v>
      </c>
      <c r="F119" s="736" t="s">
        <v>5</v>
      </c>
      <c r="G119" s="736" t="s">
        <v>6</v>
      </c>
      <c r="H119" s="736" t="s">
        <v>7</v>
      </c>
      <c r="I119" s="736" t="s">
        <v>8</v>
      </c>
      <c r="J119" s="736" t="s">
        <v>9</v>
      </c>
      <c r="K119" s="736" t="s">
        <v>10</v>
      </c>
      <c r="L119" s="736" t="s">
        <v>11</v>
      </c>
      <c r="M119" s="736" t="s">
        <v>12</v>
      </c>
      <c r="N119" s="766"/>
    </row>
    <row r="120" spans="1:14" ht="13.5" thickBot="1" x14ac:dyDescent="0.25">
      <c r="A120" s="737">
        <v>802353781</v>
      </c>
      <c r="B120" s="763">
        <f>$A$120*B118/100</f>
        <v>86280400.215068221</v>
      </c>
      <c r="C120" s="763">
        <f t="shared" ref="C120:M120" si="36">$A$120*C118/100</f>
        <v>80107211.199680522</v>
      </c>
      <c r="D120" s="763">
        <f t="shared" si="36"/>
        <v>65642536.163624913</v>
      </c>
      <c r="E120" s="763">
        <f t="shared" si="36"/>
        <v>63636985.158625752</v>
      </c>
      <c r="F120" s="763">
        <f t="shared" si="36"/>
        <v>57155720.142470129</v>
      </c>
      <c r="G120" s="763">
        <f t="shared" si="36"/>
        <v>50663231.126286507</v>
      </c>
      <c r="H120" s="763">
        <f t="shared" si="36"/>
        <v>61570665.153475113</v>
      </c>
      <c r="I120" s="763">
        <f t="shared" si="36"/>
        <v>72081220.179674417</v>
      </c>
      <c r="J120" s="763">
        <f t="shared" si="36"/>
        <v>72714596.18125321</v>
      </c>
      <c r="K120" s="763">
        <f t="shared" si="36"/>
        <v>54225460.13516596</v>
      </c>
      <c r="L120" s="763">
        <f t="shared" si="36"/>
        <v>77164006.192344099</v>
      </c>
      <c r="M120" s="763">
        <f t="shared" si="36"/>
        <v>61111749.152331181</v>
      </c>
      <c r="N120" s="739">
        <f>SUM(B120)</f>
        <v>86280400.215068221</v>
      </c>
    </row>
    <row r="121" spans="1:14" ht="13.5" thickBot="1" x14ac:dyDescent="0.25">
      <c r="A121" s="743">
        <v>0.22800000000000001</v>
      </c>
      <c r="B121" s="743">
        <v>0.22800000000000001</v>
      </c>
      <c r="C121" s="743">
        <v>0.22800000000000001</v>
      </c>
      <c r="D121" s="743">
        <v>0.22800000000000001</v>
      </c>
      <c r="E121" s="743">
        <v>0.22800000000000001</v>
      </c>
      <c r="F121" s="743">
        <v>0.22800000000000001</v>
      </c>
      <c r="G121" s="743">
        <v>0.22800000000000001</v>
      </c>
      <c r="H121" s="743">
        <v>0.22800000000000001</v>
      </c>
      <c r="I121" s="743">
        <v>0.22800000000000001</v>
      </c>
      <c r="J121" s="743">
        <v>0.22800000000000001</v>
      </c>
      <c r="K121" s="743">
        <v>0.22800000000000001</v>
      </c>
      <c r="L121" s="743">
        <v>0.22800000000000001</v>
      </c>
      <c r="M121" s="743">
        <v>0.22800000000000001</v>
      </c>
      <c r="N121" s="739"/>
    </row>
    <row r="122" spans="1:14" ht="13.5" thickBot="1" x14ac:dyDescent="0.25">
      <c r="A122" s="737">
        <f t="shared" ref="A122:M122" si="37">A120*A121</f>
        <v>182936662.06800002</v>
      </c>
      <c r="B122" s="746">
        <f t="shared" si="37"/>
        <v>19671931.249035556</v>
      </c>
      <c r="C122" s="746">
        <f t="shared" si="37"/>
        <v>18264444.153527159</v>
      </c>
      <c r="D122" s="746">
        <f t="shared" si="37"/>
        <v>14966498.245306481</v>
      </c>
      <c r="E122" s="746">
        <f t="shared" si="37"/>
        <v>14509232.616166672</v>
      </c>
      <c r="F122" s="746">
        <f t="shared" si="37"/>
        <v>13031504.19248319</v>
      </c>
      <c r="G122" s="746">
        <f t="shared" si="37"/>
        <v>11551216.696793323</v>
      </c>
      <c r="H122" s="746">
        <f t="shared" si="37"/>
        <v>14038111.654992327</v>
      </c>
      <c r="I122" s="746">
        <f t="shared" si="37"/>
        <v>16434518.200965768</v>
      </c>
      <c r="J122" s="746">
        <f t="shared" si="37"/>
        <v>16578927.929325733</v>
      </c>
      <c r="K122" s="746">
        <f t="shared" si="37"/>
        <v>12363404.910817839</v>
      </c>
      <c r="L122" s="746">
        <f t="shared" si="37"/>
        <v>17593393.411854457</v>
      </c>
      <c r="M122" s="746">
        <f t="shared" si="37"/>
        <v>13933478.806731509</v>
      </c>
      <c r="N122" s="739">
        <f>SUM(B122)</f>
        <v>19671931.249035556</v>
      </c>
    </row>
    <row r="123" spans="1:14" ht="13.5" thickBot="1" x14ac:dyDescent="0.25">
      <c r="A123" s="749" t="s">
        <v>394</v>
      </c>
    </row>
    <row r="124" spans="1:14" x14ac:dyDescent="0.2">
      <c r="A124" s="760"/>
    </row>
    <row r="127" spans="1:14" x14ac:dyDescent="0.2">
      <c r="A127" s="1255" t="s">
        <v>390</v>
      </c>
      <c r="B127" s="1255"/>
      <c r="C127" s="1255"/>
      <c r="D127" s="1255"/>
      <c r="E127" s="1255"/>
      <c r="F127" s="1255"/>
      <c r="G127" s="1255"/>
      <c r="H127" s="1255"/>
      <c r="I127" s="1255"/>
      <c r="J127" s="1255"/>
      <c r="K127" s="1255"/>
      <c r="L127" s="1255"/>
      <c r="M127" s="1255"/>
    </row>
    <row r="128" spans="1:14" x14ac:dyDescent="0.2">
      <c r="A128" s="1260" t="s">
        <v>477</v>
      </c>
      <c r="B128" s="1260"/>
      <c r="C128" s="1260"/>
      <c r="D128" s="1260"/>
      <c r="E128" s="1260"/>
      <c r="F128" s="1260"/>
      <c r="G128" s="1260"/>
      <c r="H128" s="1260"/>
      <c r="I128" s="1260"/>
      <c r="J128" s="1260"/>
      <c r="K128" s="1260"/>
      <c r="L128" s="1260"/>
      <c r="M128" s="1260"/>
    </row>
    <row r="129" spans="1:18" ht="13.5" thickBot="1" x14ac:dyDescent="0.25">
      <c r="A129" s="767">
        <f>SUM(B129:M129)</f>
        <v>100</v>
      </c>
      <c r="B129" s="768">
        <f>'X22.55 DOF'!B94</f>
        <v>11.109148961283163</v>
      </c>
      <c r="C129" s="768">
        <f>'X22.55 DOF'!C94</f>
        <v>8.7582720966496641</v>
      </c>
      <c r="D129" s="768">
        <f>'X22.55 DOF'!D94</f>
        <v>10.408470288875748</v>
      </c>
      <c r="E129" s="768">
        <f>'X22.55 DOF'!E94</f>
        <v>5.0617528800082994</v>
      </c>
      <c r="F129" s="768">
        <f>'X22.55 DOF'!F94</f>
        <v>9.0907609005724357</v>
      </c>
      <c r="G129" s="768">
        <f>'X22.55 DOF'!G94</f>
        <v>6.6768939953083484</v>
      </c>
      <c r="H129" s="768">
        <f>'X22.55 DOF'!H94</f>
        <v>10.925260304330445</v>
      </c>
      <c r="I129" s="768">
        <f>'X22.55 DOF'!I94</f>
        <v>5.5537393091763514</v>
      </c>
      <c r="J129" s="768">
        <f>'X22.55 DOF'!J94</f>
        <v>10.55844897187877</v>
      </c>
      <c r="K129" s="768">
        <f>'X22.55 DOF'!K94</f>
        <v>5.5579051041956902</v>
      </c>
      <c r="L129" s="768">
        <f>'X22.55 DOF'!L94</f>
        <v>9.8475067465251591</v>
      </c>
      <c r="M129" s="768">
        <f>'X22.55 DOF'!M94</f>
        <v>6.4518404411959285</v>
      </c>
    </row>
    <row r="130" spans="1:18" ht="13.5" thickBot="1" x14ac:dyDescent="0.25">
      <c r="A130" s="735" t="s">
        <v>391</v>
      </c>
      <c r="B130" s="736" t="s">
        <v>1</v>
      </c>
      <c r="C130" s="736" t="s">
        <v>2</v>
      </c>
      <c r="D130" s="736" t="s">
        <v>3</v>
      </c>
      <c r="E130" s="736" t="s">
        <v>4</v>
      </c>
      <c r="F130" s="736" t="s">
        <v>5</v>
      </c>
      <c r="G130" s="736" t="s">
        <v>6</v>
      </c>
      <c r="H130" s="736" t="s">
        <v>7</v>
      </c>
      <c r="I130" s="736" t="s">
        <v>8</v>
      </c>
      <c r="J130" s="736" t="s">
        <v>9</v>
      </c>
      <c r="K130" s="736" t="s">
        <v>10</v>
      </c>
      <c r="L130" s="736" t="s">
        <v>11</v>
      </c>
      <c r="M130" s="736" t="s">
        <v>12</v>
      </c>
    </row>
    <row r="131" spans="1:18" ht="13.5" thickBot="1" x14ac:dyDescent="0.25">
      <c r="A131" s="737">
        <v>9938079</v>
      </c>
      <c r="B131" s="763">
        <f>$A$131*B129/100</f>
        <v>1104036.0000000002</v>
      </c>
      <c r="C131" s="763">
        <f t="shared" ref="C131:M131" si="38">$A$131*C129/100</f>
        <v>870404</v>
      </c>
      <c r="D131" s="763">
        <f t="shared" si="38"/>
        <v>1034402</v>
      </c>
      <c r="E131" s="763">
        <f t="shared" si="38"/>
        <v>503041</v>
      </c>
      <c r="F131" s="763">
        <f t="shared" si="38"/>
        <v>903447.00000000012</v>
      </c>
      <c r="G131" s="763">
        <f t="shared" si="38"/>
        <v>663554.99999999988</v>
      </c>
      <c r="H131" s="763">
        <f t="shared" si="38"/>
        <v>1085761</v>
      </c>
      <c r="I131" s="763">
        <f t="shared" si="38"/>
        <v>551935.00000000012</v>
      </c>
      <c r="J131" s="763">
        <f t="shared" si="38"/>
        <v>1049306.9999999998</v>
      </c>
      <c r="K131" s="763">
        <f t="shared" si="38"/>
        <v>552349</v>
      </c>
      <c r="L131" s="763">
        <f t="shared" si="38"/>
        <v>978653</v>
      </c>
      <c r="M131" s="763">
        <f t="shared" si="38"/>
        <v>641188.99999999988</v>
      </c>
      <c r="N131" s="739">
        <f>SUM(B131)</f>
        <v>1104036.0000000002</v>
      </c>
    </row>
    <row r="132" spans="1:18" ht="13.5" thickBot="1" x14ac:dyDescent="0.25">
      <c r="A132" s="743">
        <v>0.22500000000000001</v>
      </c>
      <c r="B132" s="758">
        <v>0.22500000000000001</v>
      </c>
      <c r="C132" s="758">
        <v>0.22500000000000001</v>
      </c>
      <c r="D132" s="758">
        <v>0.22500000000000001</v>
      </c>
      <c r="E132" s="758">
        <v>0.22500000000000001</v>
      </c>
      <c r="F132" s="758">
        <v>0.22500000000000001</v>
      </c>
      <c r="G132" s="758">
        <v>0.22500000000000001</v>
      </c>
      <c r="H132" s="758">
        <v>0.22500000000000001</v>
      </c>
      <c r="I132" s="758">
        <v>0.22500000000000001</v>
      </c>
      <c r="J132" s="758">
        <v>0.22500000000000001</v>
      </c>
      <c r="K132" s="758">
        <v>0.22500000000000001</v>
      </c>
      <c r="L132" s="758">
        <v>0.22500000000000001</v>
      </c>
      <c r="M132" s="758">
        <v>0.22500000000000001</v>
      </c>
      <c r="N132" s="739"/>
    </row>
    <row r="133" spans="1:18" ht="13.5" thickBot="1" x14ac:dyDescent="0.25">
      <c r="A133" s="737">
        <f t="shared" ref="A133:M133" si="39">A131*A132</f>
        <v>2236067.7749999999</v>
      </c>
      <c r="B133" s="746">
        <f t="shared" si="39"/>
        <v>248408.10000000006</v>
      </c>
      <c r="C133" s="746">
        <f t="shared" si="39"/>
        <v>195840.9</v>
      </c>
      <c r="D133" s="746">
        <f t="shared" si="39"/>
        <v>232740.45</v>
      </c>
      <c r="E133" s="746">
        <f t="shared" si="39"/>
        <v>113184.22500000001</v>
      </c>
      <c r="F133" s="746">
        <f t="shared" si="39"/>
        <v>203275.57500000004</v>
      </c>
      <c r="G133" s="746">
        <f t="shared" si="39"/>
        <v>149299.87499999997</v>
      </c>
      <c r="H133" s="746">
        <f t="shared" si="39"/>
        <v>244296.22500000001</v>
      </c>
      <c r="I133" s="746">
        <f t="shared" si="39"/>
        <v>124185.37500000003</v>
      </c>
      <c r="J133" s="746">
        <f t="shared" si="39"/>
        <v>236094.07499999995</v>
      </c>
      <c r="K133" s="746">
        <f t="shared" si="39"/>
        <v>124278.52500000001</v>
      </c>
      <c r="L133" s="746">
        <f t="shared" si="39"/>
        <v>220196.92500000002</v>
      </c>
      <c r="M133" s="746">
        <f t="shared" si="39"/>
        <v>144267.52499999997</v>
      </c>
      <c r="N133" s="739">
        <f>SUM(B133)</f>
        <v>248408.10000000006</v>
      </c>
    </row>
    <row r="134" spans="1:18" ht="13.5" thickBot="1" x14ac:dyDescent="0.25">
      <c r="A134" s="749" t="s">
        <v>394</v>
      </c>
    </row>
    <row r="137" spans="1:18" x14ac:dyDescent="0.2">
      <c r="A137" s="1255" t="s">
        <v>390</v>
      </c>
      <c r="B137" s="1255"/>
      <c r="C137" s="1255"/>
      <c r="D137" s="1255"/>
      <c r="E137" s="1255"/>
      <c r="F137" s="1255"/>
      <c r="G137" s="1255"/>
      <c r="H137" s="1255"/>
      <c r="I137" s="1255"/>
      <c r="J137" s="1255"/>
      <c r="K137" s="1255"/>
      <c r="L137" s="1255"/>
      <c r="M137" s="1255"/>
    </row>
    <row r="138" spans="1:18" x14ac:dyDescent="0.2">
      <c r="A138" s="1260" t="s">
        <v>478</v>
      </c>
      <c r="B138" s="1260"/>
      <c r="C138" s="1260"/>
      <c r="D138" s="1260"/>
      <c r="E138" s="1260"/>
      <c r="F138" s="1260"/>
      <c r="G138" s="1260"/>
      <c r="H138" s="1260"/>
      <c r="I138" s="1260"/>
      <c r="J138" s="1260"/>
      <c r="K138" s="1260"/>
      <c r="L138" s="1260"/>
      <c r="M138" s="1260"/>
    </row>
    <row r="139" spans="1:18" ht="13.5" thickBot="1" x14ac:dyDescent="0.25">
      <c r="A139" s="767">
        <f>SUM(B139:M139)</f>
        <v>100</v>
      </c>
      <c r="B139" s="768">
        <f>'X22.55 DOF'!B104</f>
        <v>5.8256611383271864</v>
      </c>
      <c r="C139" s="768">
        <f>'X22.55 DOF'!C104</f>
        <v>6.5907049540710538</v>
      </c>
      <c r="D139" s="768">
        <f>'X22.55 DOF'!D104</f>
        <v>8.7536054286702516</v>
      </c>
      <c r="E139" s="768">
        <f>'X22.55 DOF'!E104</f>
        <v>8.7166396565151008</v>
      </c>
      <c r="F139" s="768">
        <f>'X22.55 DOF'!F104</f>
        <v>8.6790487281551805</v>
      </c>
      <c r="G139" s="768">
        <f>'X22.55 DOF'!G104</f>
        <v>8.5543260517180713</v>
      </c>
      <c r="H139" s="768">
        <f>'X22.55 DOF'!H104</f>
        <v>7.4537085316020892</v>
      </c>
      <c r="I139" s="768">
        <f>'X22.55 DOF'!I104</f>
        <v>8.6289212826617856</v>
      </c>
      <c r="J139" s="768">
        <f>'X22.55 DOF'!J104</f>
        <v>7.5385705163451835</v>
      </c>
      <c r="K139" s="768">
        <f>'X22.55 DOF'!K104</f>
        <v>11.034997246133939</v>
      </c>
      <c r="L139" s="768">
        <f>'X22.55 DOF'!L104</f>
        <v>9.6797751487481651</v>
      </c>
      <c r="M139" s="768">
        <f>'X22.55 DOF'!M104</f>
        <v>8.5440413170519918</v>
      </c>
    </row>
    <row r="140" spans="1:18" ht="13.5" thickBot="1" x14ac:dyDescent="0.25">
      <c r="A140" s="735" t="s">
        <v>391</v>
      </c>
      <c r="B140" s="736" t="s">
        <v>1</v>
      </c>
      <c r="C140" s="736" t="s">
        <v>2</v>
      </c>
      <c r="D140" s="736" t="s">
        <v>3</v>
      </c>
      <c r="E140" s="736" t="s">
        <v>4</v>
      </c>
      <c r="F140" s="736" t="s">
        <v>5</v>
      </c>
      <c r="G140" s="736" t="s">
        <v>6</v>
      </c>
      <c r="H140" s="736" t="s">
        <v>7</v>
      </c>
      <c r="I140" s="736" t="s">
        <v>8</v>
      </c>
      <c r="J140" s="736" t="s">
        <v>9</v>
      </c>
      <c r="K140" s="736" t="s">
        <v>10</v>
      </c>
      <c r="L140" s="736" t="s">
        <v>11</v>
      </c>
      <c r="M140" s="736" t="s">
        <v>12</v>
      </c>
    </row>
    <row r="141" spans="1:18" ht="13.5" thickBot="1" x14ac:dyDescent="0.25">
      <c r="A141" s="737">
        <v>311442163</v>
      </c>
      <c r="B141" s="763">
        <f>$A$141*B139/100</f>
        <v>18143565.058256611</v>
      </c>
      <c r="C141" s="763">
        <f t="shared" ref="C141:M141" si="40">$A$141*C139/100</f>
        <v>20526234.065907046</v>
      </c>
      <c r="D141" s="763">
        <f t="shared" si="40"/>
        <v>27262418.087536052</v>
      </c>
      <c r="E141" s="763">
        <f t="shared" si="40"/>
        <v>27147291.087166399</v>
      </c>
      <c r="F141" s="763">
        <f t="shared" si="40"/>
        <v>27030217.086790487</v>
      </c>
      <c r="G141" s="763">
        <f t="shared" si="40"/>
        <v>26641778.08554326</v>
      </c>
      <c r="H141" s="763">
        <f t="shared" si="40"/>
        <v>23213991.074537087</v>
      </c>
      <c r="I141" s="763">
        <f t="shared" si="40"/>
        <v>26874099.086289212</v>
      </c>
      <c r="J141" s="763">
        <f t="shared" si="40"/>
        <v>23478287.075385708</v>
      </c>
      <c r="K141" s="763">
        <f t="shared" si="40"/>
        <v>34367634.110349976</v>
      </c>
      <c r="L141" s="763">
        <f t="shared" si="40"/>
        <v>30146901.096797753</v>
      </c>
      <c r="M141" s="763">
        <f t="shared" si="40"/>
        <v>26609747.085440412</v>
      </c>
      <c r="N141" s="739">
        <f>SUM(B141)</f>
        <v>18143565.058256611</v>
      </c>
      <c r="P141" s="776"/>
    </row>
    <row r="142" spans="1:18" ht="13.5" thickBot="1" x14ac:dyDescent="0.25">
      <c r="A142" s="743">
        <v>0.22500000000000001</v>
      </c>
      <c r="B142" s="758">
        <v>0.22500000000000001</v>
      </c>
      <c r="C142" s="758">
        <v>0.22500000000000001</v>
      </c>
      <c r="D142" s="758">
        <v>0.22500000000000001</v>
      </c>
      <c r="E142" s="758">
        <v>0.22500000000000001</v>
      </c>
      <c r="F142" s="758">
        <v>0.22500000000000001</v>
      </c>
      <c r="G142" s="758">
        <v>0.22500000000000001</v>
      </c>
      <c r="H142" s="758">
        <v>0.22500000000000001</v>
      </c>
      <c r="I142" s="758">
        <v>0.22500000000000001</v>
      </c>
      <c r="J142" s="758">
        <v>0.22500000000000001</v>
      </c>
      <c r="K142" s="758">
        <v>0.22500000000000001</v>
      </c>
      <c r="L142" s="758">
        <v>0.22500000000000001</v>
      </c>
      <c r="M142" s="758">
        <v>0.22500000000000001</v>
      </c>
      <c r="N142" s="739"/>
    </row>
    <row r="143" spans="1:18" ht="13.5" thickBot="1" x14ac:dyDescent="0.25">
      <c r="A143" s="737">
        <f t="shared" ref="A143:M143" si="41">A141*A142</f>
        <v>70074486.674999997</v>
      </c>
      <c r="B143" s="746">
        <f t="shared" si="41"/>
        <v>4082302.1381077375</v>
      </c>
      <c r="C143" s="746">
        <f t="shared" si="41"/>
        <v>4618402.6648290856</v>
      </c>
      <c r="D143" s="746">
        <f t="shared" si="41"/>
        <v>6134044.0696956115</v>
      </c>
      <c r="E143" s="746">
        <f t="shared" si="41"/>
        <v>6108140.4946124395</v>
      </c>
      <c r="F143" s="746">
        <f t="shared" si="41"/>
        <v>6081798.8445278602</v>
      </c>
      <c r="G143" s="746">
        <f t="shared" si="41"/>
        <v>5994400.0692472337</v>
      </c>
      <c r="H143" s="746">
        <f t="shared" si="41"/>
        <v>5223147.9917708449</v>
      </c>
      <c r="I143" s="746">
        <f t="shared" si="41"/>
        <v>6046672.2944150725</v>
      </c>
      <c r="J143" s="746">
        <f t="shared" si="41"/>
        <v>5282614.5919617843</v>
      </c>
      <c r="K143" s="746">
        <f t="shared" si="41"/>
        <v>7732717.6748287445</v>
      </c>
      <c r="L143" s="746">
        <f t="shared" si="41"/>
        <v>6783052.7467794949</v>
      </c>
      <c r="M143" s="746">
        <f t="shared" si="41"/>
        <v>5987193.0942240926</v>
      </c>
      <c r="N143" s="739">
        <f>SUM(B143)</f>
        <v>4082302.1381077375</v>
      </c>
      <c r="P143" s="649"/>
      <c r="Q143" s="769"/>
      <c r="R143" s="649"/>
    </row>
    <row r="144" spans="1:18" ht="13.5" thickBot="1" x14ac:dyDescent="0.25">
      <c r="A144" s="749" t="s">
        <v>394</v>
      </c>
      <c r="P144" s="649"/>
    </row>
    <row r="145" spans="1:16" x14ac:dyDescent="0.2">
      <c r="P145" s="649"/>
    </row>
    <row r="147" spans="1:16" x14ac:dyDescent="0.2">
      <c r="A147" s="1263" t="s">
        <v>479</v>
      </c>
      <c r="B147" s="1263"/>
      <c r="C147" s="1263"/>
      <c r="D147" s="1263"/>
      <c r="E147" s="1263"/>
      <c r="F147" s="1263"/>
      <c r="G147" s="1263"/>
      <c r="H147" s="1263"/>
      <c r="I147" s="1263"/>
      <c r="J147" s="1263"/>
      <c r="K147" s="1263"/>
      <c r="L147" s="1263"/>
      <c r="M147" s="1263"/>
    </row>
    <row r="148" spans="1:16" ht="13.5" thickBot="1" x14ac:dyDescent="0.25">
      <c r="P148" s="673"/>
    </row>
    <row r="149" spans="1:16" ht="13.5" thickBot="1" x14ac:dyDescent="0.25">
      <c r="A149" s="735" t="s">
        <v>391</v>
      </c>
      <c r="B149" s="736" t="s">
        <v>1</v>
      </c>
      <c r="C149" s="736" t="s">
        <v>2</v>
      </c>
      <c r="D149" s="736" t="s">
        <v>3</v>
      </c>
      <c r="E149" s="736" t="s">
        <v>4</v>
      </c>
      <c r="F149" s="736" t="s">
        <v>5</v>
      </c>
      <c r="G149" s="736" t="s">
        <v>6</v>
      </c>
      <c r="H149" s="736" t="s">
        <v>7</v>
      </c>
      <c r="I149" s="736" t="s">
        <v>8</v>
      </c>
      <c r="J149" s="736" t="s">
        <v>9</v>
      </c>
      <c r="K149" s="736" t="s">
        <v>10</v>
      </c>
      <c r="L149" s="736" t="s">
        <v>11</v>
      </c>
      <c r="M149" s="736" t="s">
        <v>12</v>
      </c>
      <c r="P149" s="673"/>
    </row>
    <row r="150" spans="1:16" ht="13.5" thickBot="1" x14ac:dyDescent="0.25">
      <c r="A150" s="746">
        <f>B150+C150+D150+E150+F150+G150+H150+I150+J150+K150+L150+M150</f>
        <v>0</v>
      </c>
      <c r="B150" s="746">
        <v>0</v>
      </c>
      <c r="C150" s="746">
        <v>0</v>
      </c>
      <c r="D150" s="746">
        <v>0</v>
      </c>
      <c r="E150" s="746">
        <v>0</v>
      </c>
      <c r="F150" s="746">
        <v>0</v>
      </c>
      <c r="G150" s="746">
        <v>0</v>
      </c>
      <c r="H150" s="746">
        <v>0</v>
      </c>
      <c r="I150" s="746">
        <v>0</v>
      </c>
      <c r="J150" s="746">
        <v>0</v>
      </c>
      <c r="K150" s="746">
        <v>0</v>
      </c>
      <c r="L150" s="746">
        <v>0</v>
      </c>
      <c r="M150" s="770">
        <v>0</v>
      </c>
      <c r="N150" s="771">
        <v>0</v>
      </c>
      <c r="P150" s="747"/>
    </row>
    <row r="151" spans="1:16" ht="13.5" thickBot="1" x14ac:dyDescent="0.25">
      <c r="A151" s="743">
        <v>0.22500000000000001</v>
      </c>
      <c r="B151" s="758">
        <v>0.22500000000000001</v>
      </c>
      <c r="C151" s="758">
        <v>0.22500000000000001</v>
      </c>
      <c r="D151" s="758">
        <v>0.22500000000000001</v>
      </c>
      <c r="E151" s="758">
        <v>0.22500000000000001</v>
      </c>
      <c r="F151" s="758">
        <v>0.22500000000000001</v>
      </c>
      <c r="G151" s="758">
        <v>0.22500000000000001</v>
      </c>
      <c r="H151" s="758">
        <v>0.22500000000000001</v>
      </c>
      <c r="I151" s="758">
        <v>0.22500000000000001</v>
      </c>
      <c r="J151" s="758">
        <v>0.22500000000000001</v>
      </c>
      <c r="K151" s="758">
        <v>0.22500000000000001</v>
      </c>
      <c r="L151" s="758">
        <v>0.22500000000000001</v>
      </c>
      <c r="M151" s="758">
        <v>0.22500000000000001</v>
      </c>
      <c r="N151" s="771"/>
      <c r="P151" s="747"/>
    </row>
    <row r="152" spans="1:16" ht="13.5" thickBot="1" x14ac:dyDescent="0.25">
      <c r="A152" s="737">
        <f t="shared" ref="A152:M152" si="42">A150*A151</f>
        <v>0</v>
      </c>
      <c r="B152" s="746">
        <f t="shared" si="42"/>
        <v>0</v>
      </c>
      <c r="C152" s="746">
        <f t="shared" si="42"/>
        <v>0</v>
      </c>
      <c r="D152" s="746">
        <f t="shared" si="42"/>
        <v>0</v>
      </c>
      <c r="E152" s="746">
        <f t="shared" si="42"/>
        <v>0</v>
      </c>
      <c r="F152" s="746">
        <f t="shared" si="42"/>
        <v>0</v>
      </c>
      <c r="G152" s="746">
        <f t="shared" si="42"/>
        <v>0</v>
      </c>
      <c r="H152" s="746">
        <f t="shared" si="42"/>
        <v>0</v>
      </c>
      <c r="I152" s="746">
        <f t="shared" si="42"/>
        <v>0</v>
      </c>
      <c r="J152" s="746">
        <f t="shared" si="42"/>
        <v>0</v>
      </c>
      <c r="K152" s="746">
        <f t="shared" si="42"/>
        <v>0</v>
      </c>
      <c r="L152" s="746">
        <f t="shared" si="42"/>
        <v>0</v>
      </c>
      <c r="M152" s="770">
        <f t="shared" si="42"/>
        <v>0</v>
      </c>
      <c r="N152" s="771">
        <f>SUM(B152)</f>
        <v>0</v>
      </c>
      <c r="P152" s="747"/>
    </row>
    <row r="153" spans="1:16" x14ac:dyDescent="0.2">
      <c r="C153" s="750"/>
      <c r="D153" s="750"/>
      <c r="E153" s="750"/>
      <c r="F153" s="750"/>
      <c r="G153" s="750"/>
      <c r="P153" s="747"/>
    </row>
    <row r="154" spans="1:16" x14ac:dyDescent="0.2">
      <c r="D154" s="750"/>
      <c r="P154" s="747"/>
    </row>
    <row r="155" spans="1:16" x14ac:dyDescent="0.2">
      <c r="P155" s="747"/>
    </row>
    <row r="156" spans="1:16" x14ac:dyDescent="0.2">
      <c r="A156" s="1263" t="s">
        <v>480</v>
      </c>
      <c r="B156" s="1263"/>
      <c r="C156" s="1263"/>
      <c r="D156" s="1263"/>
      <c r="E156" s="1263"/>
      <c r="F156" s="1263"/>
      <c r="G156" s="1263"/>
      <c r="H156" s="1263"/>
      <c r="I156" s="1263"/>
      <c r="J156" s="1263"/>
      <c r="K156" s="1263"/>
      <c r="L156" s="1263"/>
      <c r="M156" s="1263"/>
      <c r="P156" s="747"/>
    </row>
    <row r="157" spans="1:16" ht="13.5" thickBot="1" x14ac:dyDescent="0.25">
      <c r="A157" s="1264" t="s">
        <v>395</v>
      </c>
      <c r="B157" s="1259"/>
      <c r="C157" s="1259"/>
      <c r="D157" s="1259"/>
      <c r="E157" s="1259"/>
      <c r="F157" s="1259"/>
      <c r="G157" s="1259"/>
      <c r="H157" s="1259"/>
      <c r="I157" s="1259"/>
      <c r="J157" s="1259"/>
      <c r="K157" s="1259"/>
      <c r="L157" s="1259"/>
      <c r="M157" s="1259"/>
      <c r="P157" s="747"/>
    </row>
    <row r="158" spans="1:16" ht="13.5" thickBot="1" x14ac:dyDescent="0.25">
      <c r="A158" s="735" t="s">
        <v>391</v>
      </c>
      <c r="B158" s="736" t="s">
        <v>1</v>
      </c>
      <c r="C158" s="736" t="s">
        <v>2</v>
      </c>
      <c r="D158" s="736" t="s">
        <v>3</v>
      </c>
      <c r="E158" s="736" t="s">
        <v>4</v>
      </c>
      <c r="F158" s="736" t="s">
        <v>5</v>
      </c>
      <c r="G158" s="736" t="s">
        <v>6</v>
      </c>
      <c r="H158" s="736" t="s">
        <v>7</v>
      </c>
      <c r="I158" s="736" t="s">
        <v>8</v>
      </c>
      <c r="J158" s="736" t="s">
        <v>9</v>
      </c>
      <c r="K158" s="736" t="s">
        <v>10</v>
      </c>
      <c r="L158" s="736" t="s">
        <v>11</v>
      </c>
      <c r="M158" s="736" t="s">
        <v>12</v>
      </c>
      <c r="P158" s="747"/>
    </row>
    <row r="159" spans="1:16" ht="13.5" thickBot="1" x14ac:dyDescent="0.25">
      <c r="A159" s="772">
        <f>SUM(B159:M159)</f>
        <v>6860914</v>
      </c>
      <c r="B159" s="746">
        <v>776497.54</v>
      </c>
      <c r="C159" s="746">
        <v>1125902.22</v>
      </c>
      <c r="D159" s="746">
        <v>1185966.1599999999</v>
      </c>
      <c r="E159" s="746">
        <v>781014.11</v>
      </c>
      <c r="F159" s="746">
        <v>452515.78</v>
      </c>
      <c r="G159" s="746">
        <v>557634.39</v>
      </c>
      <c r="H159" s="746">
        <v>500828.95</v>
      </c>
      <c r="I159" s="746">
        <v>233836.09</v>
      </c>
      <c r="J159" s="746">
        <v>323389.44</v>
      </c>
      <c r="K159" s="746">
        <v>277332.44</v>
      </c>
      <c r="L159" s="746">
        <v>385421.61</v>
      </c>
      <c r="M159" s="746">
        <v>260575.27</v>
      </c>
      <c r="N159" s="649"/>
      <c r="O159" s="649"/>
      <c r="P159" s="747"/>
    </row>
    <row r="160" spans="1:16" ht="13.5" thickBot="1" x14ac:dyDescent="0.25">
      <c r="A160" s="773">
        <f>SUM(B160:M160)</f>
        <v>125995.99999999999</v>
      </c>
      <c r="B160" s="746">
        <v>12001.76</v>
      </c>
      <c r="C160" s="746">
        <v>16714.759999999998</v>
      </c>
      <c r="D160" s="746">
        <v>14332.8</v>
      </c>
      <c r="E160" s="746">
        <v>21328.35</v>
      </c>
      <c r="F160" s="746">
        <v>10788.35</v>
      </c>
      <c r="G160" s="746">
        <v>13202.27</v>
      </c>
      <c r="H160" s="746">
        <v>7613.07</v>
      </c>
      <c r="I160" s="746">
        <v>7401.78</v>
      </c>
      <c r="J160" s="746">
        <v>4429.87</v>
      </c>
      <c r="K160" s="746">
        <v>12742.69</v>
      </c>
      <c r="L160" s="746">
        <v>4140.17</v>
      </c>
      <c r="M160" s="746">
        <v>1300.1299999999999</v>
      </c>
      <c r="N160" s="649"/>
      <c r="O160" s="649"/>
      <c r="P160" s="649"/>
    </row>
    <row r="161" spans="1:18" ht="13.5" thickBot="1" x14ac:dyDescent="0.25">
      <c r="A161" s="773">
        <f>SUM(B161:M161)</f>
        <v>5936379</v>
      </c>
      <c r="B161" s="746">
        <v>684713.4</v>
      </c>
      <c r="C161" s="746">
        <v>490806.72</v>
      </c>
      <c r="D161" s="746">
        <v>425278.57</v>
      </c>
      <c r="E161" s="746">
        <v>542112.72</v>
      </c>
      <c r="F161" s="746">
        <v>458508.02</v>
      </c>
      <c r="G161" s="746">
        <v>369137.58</v>
      </c>
      <c r="H161" s="746">
        <v>283887.59999999998</v>
      </c>
      <c r="I161" s="746">
        <v>468118.54</v>
      </c>
      <c r="J161" s="746">
        <v>366093.74</v>
      </c>
      <c r="K161" s="746">
        <v>840041.68</v>
      </c>
      <c r="L161" s="746">
        <v>434978.13</v>
      </c>
      <c r="M161" s="746">
        <v>572702.30000000005</v>
      </c>
      <c r="N161" s="649"/>
      <c r="O161" s="649"/>
    </row>
    <row r="162" spans="1:18" ht="13.5" thickBot="1" x14ac:dyDescent="0.25">
      <c r="A162" s="774" t="s">
        <v>396</v>
      </c>
      <c r="N162" s="649"/>
    </row>
    <row r="163" spans="1:18" ht="13.5" thickBot="1" x14ac:dyDescent="0.25">
      <c r="A163" s="775">
        <f>SUM(B163:M163)</f>
        <v>12923289.000000002</v>
      </c>
      <c r="B163" s="776">
        <f>SUM(B159:B161)</f>
        <v>1473212.7000000002</v>
      </c>
      <c r="C163" s="776">
        <f t="shared" ref="C163:M163" si="43">SUM(C159:C161)</f>
        <v>1633423.7</v>
      </c>
      <c r="D163" s="776">
        <f t="shared" si="43"/>
        <v>1625577.53</v>
      </c>
      <c r="E163" s="776">
        <f t="shared" si="43"/>
        <v>1344455.18</v>
      </c>
      <c r="F163" s="776">
        <f t="shared" si="43"/>
        <v>921812.15</v>
      </c>
      <c r="G163" s="776">
        <f t="shared" si="43"/>
        <v>939974.24</v>
      </c>
      <c r="H163" s="776">
        <f t="shared" si="43"/>
        <v>792329.62</v>
      </c>
      <c r="I163" s="776">
        <f t="shared" si="43"/>
        <v>709356.40999999992</v>
      </c>
      <c r="J163" s="776">
        <f t="shared" si="43"/>
        <v>693913.05</v>
      </c>
      <c r="K163" s="776">
        <f t="shared" si="43"/>
        <v>1130116.81</v>
      </c>
      <c r="L163" s="776">
        <f t="shared" si="43"/>
        <v>824539.90999999992</v>
      </c>
      <c r="M163" s="776">
        <f t="shared" si="43"/>
        <v>834577.70000000007</v>
      </c>
      <c r="N163" s="771">
        <f>SUM(B163)</f>
        <v>1473212.7000000002</v>
      </c>
    </row>
    <row r="164" spans="1:18" x14ac:dyDescent="0.2">
      <c r="N164" s="777"/>
    </row>
    <row r="165" spans="1:18" x14ac:dyDescent="0.2">
      <c r="A165" s="761"/>
      <c r="N165" s="748"/>
    </row>
    <row r="166" spans="1:18" x14ac:dyDescent="0.2">
      <c r="A166" s="1263" t="s">
        <v>481</v>
      </c>
      <c r="B166" s="1263"/>
      <c r="C166" s="1263"/>
      <c r="D166" s="1263"/>
      <c r="E166" s="1263"/>
      <c r="F166" s="1263"/>
      <c r="G166" s="1263"/>
      <c r="H166" s="1263"/>
      <c r="I166" s="1263"/>
      <c r="J166" s="1263"/>
      <c r="K166" s="1263"/>
      <c r="L166" s="1263"/>
      <c r="M166" s="1263"/>
      <c r="N166" s="748"/>
      <c r="O166" s="1265" t="s">
        <v>482</v>
      </c>
      <c r="P166" s="1265"/>
      <c r="Q166" s="1265"/>
      <c r="R166" s="1265"/>
    </row>
    <row r="167" spans="1:18" ht="13.5" thickBot="1" x14ac:dyDescent="0.25">
      <c r="N167" s="748"/>
      <c r="O167" s="1265"/>
      <c r="P167" s="1265"/>
      <c r="Q167" s="1265"/>
      <c r="R167" s="1265"/>
    </row>
    <row r="168" spans="1:18" ht="13.5" thickBot="1" x14ac:dyDescent="0.25">
      <c r="A168" s="735" t="s">
        <v>391</v>
      </c>
      <c r="B168" s="736" t="s">
        <v>1</v>
      </c>
      <c r="C168" s="736" t="s">
        <v>2</v>
      </c>
      <c r="D168" s="736" t="s">
        <v>3</v>
      </c>
      <c r="E168" s="736" t="s">
        <v>4</v>
      </c>
      <c r="F168" s="736" t="s">
        <v>5</v>
      </c>
      <c r="G168" s="736" t="s">
        <v>6</v>
      </c>
      <c r="H168" s="736" t="s">
        <v>7</v>
      </c>
      <c r="I168" s="736" t="s">
        <v>8</v>
      </c>
      <c r="J168" s="736" t="s">
        <v>9</v>
      </c>
      <c r="K168" s="736" t="s">
        <v>10</v>
      </c>
      <c r="L168" s="736" t="s">
        <v>11</v>
      </c>
      <c r="M168" s="736" t="s">
        <v>12</v>
      </c>
      <c r="N168" s="778"/>
      <c r="O168" s="1265"/>
      <c r="P168" s="1265"/>
      <c r="Q168" s="1265"/>
      <c r="R168" s="1265"/>
    </row>
    <row r="169" spans="1:18" ht="13.5" thickBot="1" x14ac:dyDescent="0.25">
      <c r="A169" s="746">
        <f>B169+C169+D169+E169+F169+G169+H169+I169+J169+K169+L169+M169</f>
        <v>1117800083</v>
      </c>
      <c r="B169" s="746">
        <v>111780009</v>
      </c>
      <c r="C169" s="746">
        <v>111780009</v>
      </c>
      <c r="D169" s="746">
        <v>111780009</v>
      </c>
      <c r="E169" s="746">
        <v>111780009</v>
      </c>
      <c r="F169" s="746">
        <v>111780009</v>
      </c>
      <c r="G169" s="746">
        <v>111780009</v>
      </c>
      <c r="H169" s="746">
        <v>111780009</v>
      </c>
      <c r="I169" s="746">
        <v>111780009</v>
      </c>
      <c r="J169" s="746">
        <v>111780009</v>
      </c>
      <c r="K169" s="746">
        <v>111780002</v>
      </c>
      <c r="L169" s="746">
        <v>0</v>
      </c>
      <c r="M169" s="746">
        <v>0</v>
      </c>
      <c r="N169" s="771">
        <f>SUM(B169)</f>
        <v>111780009</v>
      </c>
      <c r="O169" s="1265"/>
      <c r="P169" s="1265"/>
      <c r="Q169" s="1265"/>
      <c r="R169" s="1265"/>
    </row>
    <row r="170" spans="1:18" x14ac:dyDescent="0.2">
      <c r="N170" s="777"/>
      <c r="O170" s="1265"/>
      <c r="P170" s="1265"/>
      <c r="Q170" s="1265"/>
      <c r="R170" s="1265"/>
    </row>
    <row r="171" spans="1:18" x14ac:dyDescent="0.2">
      <c r="A171" s="761"/>
      <c r="N171" s="748"/>
      <c r="O171" s="1265"/>
      <c r="P171" s="1265"/>
      <c r="Q171" s="1265"/>
      <c r="R171" s="1265"/>
    </row>
    <row r="172" spans="1:18" x14ac:dyDescent="0.2">
      <c r="A172" s="1263" t="s">
        <v>483</v>
      </c>
      <c r="B172" s="1263"/>
      <c r="C172" s="1263"/>
      <c r="D172" s="1263"/>
      <c r="E172" s="1263"/>
      <c r="F172" s="1263"/>
      <c r="G172" s="1263"/>
      <c r="H172" s="1263"/>
      <c r="I172" s="1263"/>
      <c r="J172" s="1263"/>
      <c r="K172" s="1263"/>
      <c r="L172" s="1263"/>
      <c r="M172" s="1263"/>
      <c r="N172" s="748"/>
      <c r="O172" s="1265"/>
      <c r="P172" s="1265"/>
      <c r="Q172" s="1265"/>
      <c r="R172" s="1265"/>
    </row>
    <row r="173" spans="1:18" ht="13.5" thickBot="1" x14ac:dyDescent="0.25">
      <c r="N173" s="748"/>
      <c r="O173" s="1265"/>
      <c r="P173" s="1265"/>
      <c r="Q173" s="1265"/>
      <c r="R173" s="1265"/>
    </row>
    <row r="174" spans="1:18" ht="13.5" thickBot="1" x14ac:dyDescent="0.25">
      <c r="A174" s="735" t="s">
        <v>391</v>
      </c>
      <c r="B174" s="736" t="s">
        <v>1</v>
      </c>
      <c r="C174" s="736" t="s">
        <v>2</v>
      </c>
      <c r="D174" s="736" t="s">
        <v>3</v>
      </c>
      <c r="E174" s="736" t="s">
        <v>4</v>
      </c>
      <c r="F174" s="736" t="s">
        <v>5</v>
      </c>
      <c r="G174" s="736" t="s">
        <v>6</v>
      </c>
      <c r="H174" s="736" t="s">
        <v>7</v>
      </c>
      <c r="I174" s="736" t="s">
        <v>8</v>
      </c>
      <c r="J174" s="736" t="s">
        <v>9</v>
      </c>
      <c r="K174" s="736" t="s">
        <v>10</v>
      </c>
      <c r="L174" s="736" t="s">
        <v>11</v>
      </c>
      <c r="M174" s="736" t="s">
        <v>12</v>
      </c>
      <c r="N174" s="778"/>
      <c r="O174" s="1265"/>
      <c r="P174" s="1265"/>
      <c r="Q174" s="1265"/>
      <c r="R174" s="1265"/>
    </row>
    <row r="175" spans="1:18" ht="13.5" thickBot="1" x14ac:dyDescent="0.25">
      <c r="A175" s="746">
        <f>B175+C175+D175+E175+F175+G175+H175+I175+J175+K175+L175+M175</f>
        <v>914723719</v>
      </c>
      <c r="B175" s="746">
        <v>76226977</v>
      </c>
      <c r="C175" s="746">
        <v>76226977</v>
      </c>
      <c r="D175" s="746">
        <v>76226977</v>
      </c>
      <c r="E175" s="746">
        <v>76226977</v>
      </c>
      <c r="F175" s="746">
        <v>76226977</v>
      </c>
      <c r="G175" s="746">
        <v>76226977</v>
      </c>
      <c r="H175" s="746">
        <v>76226977</v>
      </c>
      <c r="I175" s="746">
        <v>76226977</v>
      </c>
      <c r="J175" s="746">
        <v>76226977</v>
      </c>
      <c r="K175" s="746">
        <v>76226977</v>
      </c>
      <c r="L175" s="746">
        <v>76226977</v>
      </c>
      <c r="M175" s="746">
        <v>76226972</v>
      </c>
      <c r="N175" s="771">
        <f>SUM(B175)</f>
        <v>76226977</v>
      </c>
    </row>
    <row r="176" spans="1:18" ht="13.5" thickBot="1" x14ac:dyDescent="0.25"/>
    <row r="177" spans="1:14" ht="13.5" thickBot="1" x14ac:dyDescent="0.25">
      <c r="C177" s="779"/>
      <c r="L177" s="780" t="s">
        <v>397</v>
      </c>
      <c r="M177" s="781"/>
      <c r="N177" s="782">
        <f>N10+N22+N36+N47+N59+N71+N108+N120+N131+N141</f>
        <v>786687821.20470119</v>
      </c>
    </row>
    <row r="178" spans="1:14" ht="13.5" thickBot="1" x14ac:dyDescent="0.25">
      <c r="B178" s="750"/>
      <c r="C178" s="750"/>
      <c r="E178" s="750"/>
      <c r="L178" s="774"/>
      <c r="M178" s="774"/>
      <c r="N178" s="783"/>
    </row>
    <row r="179" spans="1:14" ht="13.5" thickBot="1" x14ac:dyDescent="0.25">
      <c r="C179" s="750"/>
      <c r="E179" s="750"/>
      <c r="L179" s="780" t="s">
        <v>398</v>
      </c>
      <c r="M179" s="781"/>
      <c r="N179" s="782">
        <f>N13+N22+N38+N61+N73+N49+N122+N85+N97+N163+N169+N175+N152</f>
        <v>394792277.55154711</v>
      </c>
    </row>
    <row r="181" spans="1:14" x14ac:dyDescent="0.2">
      <c r="A181" s="649">
        <f>SUM(B181:M181)</f>
        <v>9277745057</v>
      </c>
      <c r="B181" s="750">
        <f t="shared" ref="B181:M181" si="44">B10+B22+B36+B59+B47+B120+B83+B95+B131+B141</f>
        <v>753344372.20470119</v>
      </c>
      <c r="C181" s="750">
        <f t="shared" si="44"/>
        <v>1005101619.4725399</v>
      </c>
      <c r="D181" s="750">
        <f t="shared" si="44"/>
        <v>693012247.88801634</v>
      </c>
      <c r="E181" s="750">
        <f t="shared" si="44"/>
        <v>993126146.15520692</v>
      </c>
      <c r="F181" s="750">
        <f t="shared" si="44"/>
        <v>688741559.93947601</v>
      </c>
      <c r="G181" s="750">
        <f t="shared" si="44"/>
        <v>687810609.05148244</v>
      </c>
      <c r="H181" s="750">
        <f t="shared" si="44"/>
        <v>759050319.92978895</v>
      </c>
      <c r="I181" s="750">
        <f t="shared" si="44"/>
        <v>771709929.23488033</v>
      </c>
      <c r="J181" s="750">
        <f t="shared" si="44"/>
        <v>738636965.7948904</v>
      </c>
      <c r="K181" s="750">
        <f t="shared" si="44"/>
        <v>757370333.42890882</v>
      </c>
      <c r="L181" s="750">
        <f t="shared" si="44"/>
        <v>721359331.84112382</v>
      </c>
      <c r="M181" s="750">
        <f t="shared" si="44"/>
        <v>708481622.05898511</v>
      </c>
    </row>
    <row r="183" spans="1:14" x14ac:dyDescent="0.2">
      <c r="A183" s="649">
        <f>SUM(B183:M183)</f>
        <v>2502184743.9929996</v>
      </c>
      <c r="B183" s="750">
        <f t="shared" ref="B183:M183" si="45">B13+B22+B38+B61+B49+B122+B85+B97+B133+B143</f>
        <v>202140513.06465486</v>
      </c>
      <c r="C183" s="750">
        <f t="shared" si="45"/>
        <v>273144921.96266752</v>
      </c>
      <c r="D183" s="750">
        <f t="shared" si="45"/>
        <v>186630067.6538524</v>
      </c>
      <c r="E183" s="750">
        <f t="shared" si="45"/>
        <v>268980549.84332144</v>
      </c>
      <c r="F183" s="750">
        <f t="shared" si="45"/>
        <v>185779491.78489459</v>
      </c>
      <c r="G183" s="750">
        <f t="shared" si="45"/>
        <v>185860507.10978207</v>
      </c>
      <c r="H183" s="750">
        <f t="shared" si="45"/>
        <v>204138673.55997485</v>
      </c>
      <c r="I183" s="750">
        <f t="shared" si="45"/>
        <v>208179821.38097304</v>
      </c>
      <c r="J183" s="750">
        <f t="shared" si="45"/>
        <v>199020290.03704885</v>
      </c>
      <c r="K183" s="750">
        <f t="shared" si="45"/>
        <v>203522694.05551583</v>
      </c>
      <c r="L183" s="750">
        <f t="shared" si="45"/>
        <v>193658866.84154001</v>
      </c>
      <c r="M183" s="750">
        <f t="shared" si="45"/>
        <v>191128346.69877449</v>
      </c>
    </row>
    <row r="186" spans="1:14" ht="13.5" thickBot="1" x14ac:dyDescent="0.25">
      <c r="A186" s="1255" t="s">
        <v>390</v>
      </c>
      <c r="B186" s="1255"/>
      <c r="C186" s="1255"/>
      <c r="D186" s="1255"/>
      <c r="E186" s="1255"/>
      <c r="F186" s="1255"/>
      <c r="G186" s="1255"/>
      <c r="H186" s="1255"/>
      <c r="I186" s="1255"/>
      <c r="J186" s="1255"/>
      <c r="K186" s="1255"/>
      <c r="L186" s="1255"/>
      <c r="M186" s="1255"/>
    </row>
    <row r="187" spans="1:14" ht="13.5" thickBot="1" x14ac:dyDescent="0.25">
      <c r="A187" s="1256" t="s">
        <v>496</v>
      </c>
      <c r="B187" s="1257"/>
      <c r="C187" s="1257"/>
      <c r="D187" s="1257"/>
      <c r="E187" s="1257"/>
      <c r="F187" s="1257"/>
      <c r="G187" s="1257"/>
      <c r="H187" s="1257"/>
      <c r="I187" s="1257"/>
      <c r="J187" s="1257"/>
      <c r="K187" s="1257"/>
      <c r="L187" s="1257"/>
      <c r="M187" s="1258"/>
      <c r="N187" s="766"/>
    </row>
    <row r="188" spans="1:14" ht="13.5" thickBot="1" x14ac:dyDescent="0.25">
      <c r="A188" s="767">
        <f>SUM(B188:M188)</f>
        <v>0</v>
      </c>
      <c r="B188" s="768">
        <f>'[5]X22.55 DOF'!B167</f>
        <v>0</v>
      </c>
      <c r="C188" s="768">
        <f>'[5]X22.55 DOF'!C167</f>
        <v>0</v>
      </c>
      <c r="D188" s="768">
        <f>'[5]X22.55 DOF'!D167</f>
        <v>0</v>
      </c>
      <c r="E188" s="768">
        <f>'[5]X22.55 DOF'!E167</f>
        <v>0</v>
      </c>
      <c r="F188" s="768">
        <f>'[5]X22.55 DOF'!F167</f>
        <v>0</v>
      </c>
      <c r="G188" s="768">
        <f>'[5]X22.55 DOF'!G167</f>
        <v>0</v>
      </c>
      <c r="H188" s="768">
        <f>'[5]X22.55 DOF'!H167</f>
        <v>0</v>
      </c>
      <c r="I188" s="768">
        <f>'[5]X22.55 DOF'!I167</f>
        <v>0</v>
      </c>
      <c r="J188" s="768">
        <f>'[5]X22.55 DOF'!J167</f>
        <v>0</v>
      </c>
      <c r="K188" s="768">
        <f>'[5]X22.55 DOF'!K167</f>
        <v>0</v>
      </c>
      <c r="L188" s="768">
        <f>'[5]X22.55 DOF'!L167</f>
        <v>0</v>
      </c>
      <c r="M188" s="768">
        <f>'[5]X22.55 DOF'!M167</f>
        <v>0</v>
      </c>
      <c r="N188" s="766"/>
    </row>
    <row r="189" spans="1:14" ht="13.5" thickBot="1" x14ac:dyDescent="0.25">
      <c r="A189" s="735" t="s">
        <v>176</v>
      </c>
      <c r="B189" s="736" t="s">
        <v>1</v>
      </c>
      <c r="C189" s="736" t="s">
        <v>2</v>
      </c>
      <c r="D189" s="736" t="s">
        <v>3</v>
      </c>
      <c r="E189" s="736" t="s">
        <v>4</v>
      </c>
      <c r="F189" s="736" t="s">
        <v>5</v>
      </c>
      <c r="G189" s="736" t="s">
        <v>6</v>
      </c>
      <c r="H189" s="736" t="s">
        <v>7</v>
      </c>
      <c r="I189" s="736" t="s">
        <v>8</v>
      </c>
      <c r="J189" s="736" t="s">
        <v>9</v>
      </c>
      <c r="K189" s="736" t="s">
        <v>10</v>
      </c>
      <c r="L189" s="736" t="s">
        <v>11</v>
      </c>
      <c r="M189" s="736" t="s">
        <v>12</v>
      </c>
      <c r="N189" s="766"/>
    </row>
    <row r="190" spans="1:14" ht="13.5" thickBot="1" x14ac:dyDescent="0.25">
      <c r="A190" s="903" t="s">
        <v>498</v>
      </c>
      <c r="B190" s="763">
        <v>30660225</v>
      </c>
      <c r="C190" s="763">
        <v>6040453</v>
      </c>
      <c r="D190" s="763">
        <v>4322780</v>
      </c>
      <c r="E190" s="763">
        <v>13458070</v>
      </c>
      <c r="F190" s="763">
        <v>38693636</v>
      </c>
      <c r="G190" s="763">
        <v>19417999</v>
      </c>
      <c r="H190" s="763">
        <v>19217967</v>
      </c>
      <c r="I190" s="763">
        <v>13309077</v>
      </c>
      <c r="J190" s="763">
        <v>11546749</v>
      </c>
      <c r="K190" s="763">
        <v>10219109</v>
      </c>
      <c r="L190" s="763">
        <v>12878645</v>
      </c>
      <c r="M190" s="763">
        <v>13086281</v>
      </c>
      <c r="N190" s="739">
        <f>SUM(B190:M190)</f>
        <v>192850991</v>
      </c>
    </row>
    <row r="191" spans="1:14" ht="13.5" thickBot="1" x14ac:dyDescent="0.25">
      <c r="A191" s="666" t="s">
        <v>497</v>
      </c>
      <c r="B191" s="743">
        <v>0.2</v>
      </c>
      <c r="C191" s="743">
        <v>0.2</v>
      </c>
      <c r="D191" s="743">
        <v>0.2</v>
      </c>
      <c r="E191" s="743">
        <v>0.2</v>
      </c>
      <c r="F191" s="743">
        <v>0.2</v>
      </c>
      <c r="G191" s="743">
        <v>0.2</v>
      </c>
      <c r="H191" s="743">
        <v>0.2</v>
      </c>
      <c r="I191" s="743">
        <v>0.2</v>
      </c>
      <c r="J191" s="743">
        <v>0.2</v>
      </c>
      <c r="K191" s="743">
        <v>0.2</v>
      </c>
      <c r="L191" s="743">
        <v>0.2</v>
      </c>
      <c r="M191" s="743">
        <v>0.2</v>
      </c>
      <c r="N191" s="739"/>
    </row>
    <row r="192" spans="1:14" ht="13.5" thickBot="1" x14ac:dyDescent="0.25">
      <c r="A192" s="903" t="s">
        <v>499</v>
      </c>
      <c r="B192" s="746">
        <f t="shared" ref="B192:M192" si="46">B190*B191</f>
        <v>6132045</v>
      </c>
      <c r="C192" s="746">
        <f t="shared" si="46"/>
        <v>1208090.6000000001</v>
      </c>
      <c r="D192" s="746">
        <f t="shared" si="46"/>
        <v>864556</v>
      </c>
      <c r="E192" s="746">
        <f t="shared" si="46"/>
        <v>2691614</v>
      </c>
      <c r="F192" s="746">
        <f t="shared" si="46"/>
        <v>7738727.2000000002</v>
      </c>
      <c r="G192" s="746">
        <f t="shared" si="46"/>
        <v>3883599.8000000003</v>
      </c>
      <c r="H192" s="746">
        <f t="shared" si="46"/>
        <v>3843593.4000000004</v>
      </c>
      <c r="I192" s="746">
        <f t="shared" si="46"/>
        <v>2661815.4000000004</v>
      </c>
      <c r="J192" s="746">
        <f t="shared" si="46"/>
        <v>2309349.8000000003</v>
      </c>
      <c r="K192" s="746">
        <f t="shared" si="46"/>
        <v>2043821.8</v>
      </c>
      <c r="L192" s="746">
        <f t="shared" si="46"/>
        <v>2575729</v>
      </c>
      <c r="M192" s="746">
        <f t="shared" si="46"/>
        <v>2617256.2000000002</v>
      </c>
      <c r="N192" s="739">
        <f>SUM(B192:M192)</f>
        <v>38570198.200000003</v>
      </c>
    </row>
    <row r="193" spans="1:14" ht="13.5" thickBot="1" x14ac:dyDescent="0.25">
      <c r="A193" s="917" t="s">
        <v>488</v>
      </c>
      <c r="B193" s="904">
        <f>B192/$N$192*100</f>
        <v>15.898401579901655</v>
      </c>
      <c r="C193" s="904">
        <f t="shared" ref="C193:M193" si="47">C192/$N$192*100</f>
        <v>3.1321866528546902</v>
      </c>
      <c r="D193" s="904">
        <f t="shared" si="47"/>
        <v>2.2415129824248607</v>
      </c>
      <c r="E193" s="904">
        <f t="shared" si="47"/>
        <v>6.9784811217278104</v>
      </c>
      <c r="F193" s="904">
        <f t="shared" si="47"/>
        <v>20.064006826908138</v>
      </c>
      <c r="G193" s="904">
        <f t="shared" si="47"/>
        <v>10.068913257490079</v>
      </c>
      <c r="H193" s="904">
        <f t="shared" si="47"/>
        <v>9.965189652564451</v>
      </c>
      <c r="I193" s="904">
        <f t="shared" si="47"/>
        <v>6.9012230276794391</v>
      </c>
      <c r="J193" s="904">
        <f t="shared" si="47"/>
        <v>5.9873941741891281</v>
      </c>
      <c r="K193" s="904">
        <f t="shared" si="47"/>
        <v>5.2989662884335393</v>
      </c>
      <c r="L193" s="904">
        <f t="shared" si="47"/>
        <v>6.6780289451558987</v>
      </c>
      <c r="M193" s="904">
        <f t="shared" si="47"/>
        <v>6.7856954906703066</v>
      </c>
    </row>
    <row r="194" spans="1:14" ht="14.25" thickTop="1" thickBot="1" x14ac:dyDescent="0.25">
      <c r="A194" s="918" t="s">
        <v>508</v>
      </c>
      <c r="B194" s="919">
        <f>$N$194*B193/100</f>
        <v>5564440.5529655786</v>
      </c>
      <c r="C194" s="919">
        <f t="shared" ref="C194:M194" si="48">$N$194*C193/100</f>
        <v>1096265.3284991416</v>
      </c>
      <c r="D194" s="919">
        <f t="shared" si="48"/>
        <v>784529.54384870129</v>
      </c>
      <c r="E194" s="919">
        <f t="shared" si="48"/>
        <v>2442468.3926047338</v>
      </c>
      <c r="F194" s="919">
        <f t="shared" si="48"/>
        <v>7022402.3894178485</v>
      </c>
      <c r="G194" s="919">
        <f t="shared" si="48"/>
        <v>3524119.6401215279</v>
      </c>
      <c r="H194" s="919">
        <f t="shared" si="48"/>
        <v>3487816.3783975579</v>
      </c>
      <c r="I194" s="919">
        <f t="shared" si="48"/>
        <v>2415428.0596878035</v>
      </c>
      <c r="J194" s="919">
        <f t="shared" si="48"/>
        <v>2095587.960966195</v>
      </c>
      <c r="K194" s="919">
        <f t="shared" si="48"/>
        <v>1854638.2009517387</v>
      </c>
      <c r="L194" s="919">
        <f t="shared" si="48"/>
        <v>2337310.1308045648</v>
      </c>
      <c r="M194" s="919">
        <f t="shared" si="48"/>
        <v>2374993.4217346073</v>
      </c>
      <c r="N194" s="920">
        <v>35000000</v>
      </c>
    </row>
    <row r="195" spans="1:14" ht="13.5" thickTop="1" x14ac:dyDescent="0.2"/>
  </sheetData>
  <mergeCells count="38">
    <mergeCell ref="A147:M147"/>
    <mergeCell ref="A156:M156"/>
    <mergeCell ref="A157:M157"/>
    <mergeCell ref="A166:M166"/>
    <mergeCell ref="O166:R174"/>
    <mergeCell ref="A172:M172"/>
    <mergeCell ref="A55:M55"/>
    <mergeCell ref="A66:M66"/>
    <mergeCell ref="A67:M67"/>
    <mergeCell ref="A78:M78"/>
    <mergeCell ref="A138:M138"/>
    <mergeCell ref="A90:M90"/>
    <mergeCell ref="A91:M91"/>
    <mergeCell ref="A101:M101"/>
    <mergeCell ref="A103:M103"/>
    <mergeCell ref="A104:M104"/>
    <mergeCell ref="A115:M115"/>
    <mergeCell ref="A116:M116"/>
    <mergeCell ref="A117:M117"/>
    <mergeCell ref="A127:M127"/>
    <mergeCell ref="A128:M128"/>
    <mergeCell ref="A137:M137"/>
    <mergeCell ref="A186:M186"/>
    <mergeCell ref="A187:M187"/>
    <mergeCell ref="A8:M8"/>
    <mergeCell ref="A1:M1"/>
    <mergeCell ref="A2:M2"/>
    <mergeCell ref="A3:M3"/>
    <mergeCell ref="A4:M4"/>
    <mergeCell ref="A5:M5"/>
    <mergeCell ref="A79:M79"/>
    <mergeCell ref="A17:M17"/>
    <mergeCell ref="A18:M18"/>
    <mergeCell ref="A31:M31"/>
    <mergeCell ref="A32:M32"/>
    <mergeCell ref="A42:M42"/>
    <mergeCell ref="A43:M43"/>
    <mergeCell ref="A54:M54"/>
  </mergeCells>
  <printOptions horizontalCentered="1"/>
  <pageMargins left="0.15" right="0.55000000000000004" top="0.13" bottom="0.33" header="0" footer="0"/>
  <pageSetup paperSize="5" scale="8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T35"/>
  <sheetViews>
    <sheetView zoomScaleNormal="100" workbookViewId="0">
      <selection activeCell="B1" sqref="B1:K1"/>
    </sheetView>
  </sheetViews>
  <sheetFormatPr baseColWidth="10" defaultRowHeight="15" x14ac:dyDescent="0.25"/>
  <cols>
    <col min="1" max="1" width="3.5703125" customWidth="1"/>
    <col min="2" max="2" width="21.7109375" customWidth="1"/>
    <col min="3" max="3" width="9.42578125" customWidth="1"/>
    <col min="4" max="4" width="11.85546875" bestFit="1" customWidth="1"/>
    <col min="5" max="5" width="15.7109375" customWidth="1"/>
    <col min="6" max="6" width="13" bestFit="1" customWidth="1"/>
    <col min="7" max="7" width="11.140625" style="9" customWidth="1"/>
    <col min="8" max="8" width="12.140625" style="9" customWidth="1"/>
    <col min="9" max="9" width="12.42578125" customWidth="1"/>
    <col min="10" max="10" width="11.28515625" style="148" customWidth="1"/>
    <col min="11" max="11" width="11.42578125" style="148" customWidth="1"/>
    <col min="12" max="14" width="0" hidden="1" customWidth="1"/>
  </cols>
  <sheetData>
    <row r="1" spans="2:14" x14ac:dyDescent="0.25">
      <c r="B1" s="1050" t="s">
        <v>456</v>
      </c>
      <c r="C1" s="1050"/>
      <c r="D1" s="1050"/>
      <c r="E1" s="1050"/>
      <c r="F1" s="1050"/>
      <c r="G1" s="1050"/>
      <c r="H1" s="1050"/>
      <c r="I1" s="1050"/>
      <c r="J1" s="1050"/>
      <c r="K1" s="1050"/>
    </row>
    <row r="2" spans="2:14" x14ac:dyDescent="0.25">
      <c r="B2" s="1076" t="s">
        <v>276</v>
      </c>
      <c r="C2" s="1076"/>
      <c r="D2" s="1076"/>
      <c r="E2" s="1076"/>
      <c r="F2" s="1076"/>
      <c r="G2" s="1076"/>
      <c r="H2" s="1076"/>
      <c r="I2" s="1076"/>
      <c r="J2" s="1076"/>
      <c r="K2" s="1076"/>
    </row>
    <row r="3" spans="2:14" ht="15.75" thickBot="1" x14ac:dyDescent="0.3"/>
    <row r="4" spans="2:14" ht="15" customHeight="1" x14ac:dyDescent="0.25">
      <c r="B4" s="1078" t="s">
        <v>83</v>
      </c>
      <c r="C4" s="1081" t="s">
        <v>242</v>
      </c>
      <c r="D4" s="1081" t="s">
        <v>266</v>
      </c>
      <c r="E4" s="1079" t="s">
        <v>262</v>
      </c>
      <c r="F4" s="1079" t="s">
        <v>265</v>
      </c>
      <c r="G4" s="1081" t="s">
        <v>372</v>
      </c>
      <c r="H4" s="1081" t="s">
        <v>263</v>
      </c>
      <c r="I4" s="1081" t="s">
        <v>244</v>
      </c>
      <c r="J4" s="1081" t="s">
        <v>521</v>
      </c>
      <c r="K4" s="1083" t="s">
        <v>264</v>
      </c>
    </row>
    <row r="5" spans="2:14" x14ac:dyDescent="0.25">
      <c r="B5" s="973"/>
      <c r="C5" s="1082"/>
      <c r="D5" s="1082"/>
      <c r="E5" s="1080"/>
      <c r="F5" s="1080"/>
      <c r="G5" s="1082"/>
      <c r="H5" s="1082"/>
      <c r="I5" s="1082"/>
      <c r="J5" s="1082"/>
      <c r="K5" s="1084"/>
    </row>
    <row r="6" spans="2:14" x14ac:dyDescent="0.25">
      <c r="B6" s="973"/>
      <c r="C6" s="1082"/>
      <c r="D6" s="1082"/>
      <c r="E6" s="1080"/>
      <c r="F6" s="1080"/>
      <c r="G6" s="1082"/>
      <c r="H6" s="1082"/>
      <c r="I6" s="1082"/>
      <c r="J6" s="1082"/>
      <c r="K6" s="1084"/>
    </row>
    <row r="7" spans="2:14" ht="15.75" thickBot="1" x14ac:dyDescent="0.3">
      <c r="B7" s="974"/>
      <c r="C7" s="418" t="s">
        <v>70</v>
      </c>
      <c r="D7" s="418" t="s">
        <v>97</v>
      </c>
      <c r="E7" s="418" t="s">
        <v>71</v>
      </c>
      <c r="F7" s="418" t="s">
        <v>98</v>
      </c>
      <c r="G7" s="418" t="s">
        <v>73</v>
      </c>
      <c r="H7" s="418" t="s">
        <v>133</v>
      </c>
      <c r="I7" s="419" t="s">
        <v>134</v>
      </c>
      <c r="J7" s="418" t="s">
        <v>75</v>
      </c>
      <c r="K7" s="420" t="s">
        <v>135</v>
      </c>
      <c r="L7" s="157" t="s">
        <v>106</v>
      </c>
      <c r="M7" s="157" t="s">
        <v>136</v>
      </c>
      <c r="N7" s="158"/>
    </row>
    <row r="8" spans="2:14" x14ac:dyDescent="0.25">
      <c r="B8" s="421" t="s">
        <v>45</v>
      </c>
      <c r="C8" s="422">
        <v>3.65</v>
      </c>
      <c r="D8" s="423">
        <f>$D$28*C8/100</f>
        <v>1608902.6625000001</v>
      </c>
      <c r="E8" s="424">
        <f>'Predial y Agua'!G9</f>
        <v>10441632</v>
      </c>
      <c r="F8" s="425">
        <f>E8/$E$28*100</f>
        <v>1.4535430199507424</v>
      </c>
      <c r="G8" s="171">
        <f>'CENSO 2020'!C10</f>
        <v>37232</v>
      </c>
      <c r="H8" s="171">
        <f>F8*G8</f>
        <v>54118.313718806043</v>
      </c>
      <c r="I8" s="426">
        <f>H8/H$28*100</f>
        <v>0.21788802895341344</v>
      </c>
      <c r="J8" s="427">
        <f>$J$28*I8/100</f>
        <v>51518.495949460659</v>
      </c>
      <c r="K8" s="428">
        <f t="shared" ref="K8:K27" si="0">D8+J8</f>
        <v>1660421.1584494608</v>
      </c>
      <c r="L8" s="159">
        <f>I8</f>
        <v>0.21788802895341344</v>
      </c>
      <c r="M8" s="158">
        <v>0.307836</v>
      </c>
      <c r="N8" s="159">
        <f>L8-M8</f>
        <v>-8.9947971046586556E-2</v>
      </c>
    </row>
    <row r="9" spans="2:14" x14ac:dyDescent="0.25">
      <c r="B9" s="429" t="s">
        <v>46</v>
      </c>
      <c r="C9" s="422">
        <v>1.49</v>
      </c>
      <c r="D9" s="423">
        <f t="shared" ref="D9:D27" si="1">$D$28*C9/100</f>
        <v>656784.92249999999</v>
      </c>
      <c r="E9" s="424">
        <f>'Predial y Agua'!G10</f>
        <v>4832614</v>
      </c>
      <c r="F9" s="425">
        <f t="shared" ref="F9:F27" si="2">E9/$E$28*100</f>
        <v>0.6727312691939572</v>
      </c>
      <c r="G9" s="171">
        <f>'CENSO 2020'!C11</f>
        <v>15393</v>
      </c>
      <c r="H9" s="171">
        <f t="shared" ref="H9:H27" si="3">F9*G9</f>
        <v>10355.352426702584</v>
      </c>
      <c r="I9" s="426">
        <f t="shared" ref="I9:I28" si="4">H9/H$28*100</f>
        <v>4.1692121840598097E-2</v>
      </c>
      <c r="J9" s="427">
        <f t="shared" ref="J9:J27" si="5">$J$28*I9/100</f>
        <v>9857.8862752873792</v>
      </c>
      <c r="K9" s="428">
        <f t="shared" si="0"/>
        <v>666642.80877528735</v>
      </c>
      <c r="L9" s="159">
        <f t="shared" ref="L9:L27" si="6">I9</f>
        <v>4.1692121840598097E-2</v>
      </c>
      <c r="M9" s="158">
        <v>5.7023999999999998E-2</v>
      </c>
      <c r="N9" s="159">
        <f t="shared" ref="N9:N27" si="7">L9-M9</f>
        <v>-1.5331878159401902E-2</v>
      </c>
    </row>
    <row r="10" spans="2:14" x14ac:dyDescent="0.25">
      <c r="B10" s="429" t="s">
        <v>47</v>
      </c>
      <c r="C10" s="422">
        <v>1.0900000000000001</v>
      </c>
      <c r="D10" s="423">
        <f t="shared" si="1"/>
        <v>480466.82250000001</v>
      </c>
      <c r="E10" s="424">
        <f>'Predial y Agua'!G11</f>
        <v>3371752</v>
      </c>
      <c r="F10" s="425">
        <f t="shared" si="2"/>
        <v>0.46936978669665397</v>
      </c>
      <c r="G10" s="171">
        <f>'CENSO 2020'!C12</f>
        <v>11536</v>
      </c>
      <c r="H10" s="171">
        <f t="shared" si="3"/>
        <v>5414.6498593326005</v>
      </c>
      <c r="I10" s="426">
        <f t="shared" si="4"/>
        <v>2.1800150526731642E-2</v>
      </c>
      <c r="J10" s="427">
        <f t="shared" si="5"/>
        <v>5154.5326836160812</v>
      </c>
      <c r="K10" s="428">
        <f t="shared" si="0"/>
        <v>485621.35518361611</v>
      </c>
      <c r="L10" s="159">
        <f t="shared" si="6"/>
        <v>2.1800150526731642E-2</v>
      </c>
      <c r="M10" s="158">
        <v>3.8598E-2</v>
      </c>
      <c r="N10" s="159">
        <f t="shared" si="7"/>
        <v>-1.6797849473268359E-2</v>
      </c>
    </row>
    <row r="11" spans="2:14" x14ac:dyDescent="0.25">
      <c r="B11" s="429" t="s">
        <v>48</v>
      </c>
      <c r="C11" s="422">
        <v>8.82</v>
      </c>
      <c r="D11" s="423">
        <f t="shared" si="1"/>
        <v>3887814.105</v>
      </c>
      <c r="E11" s="424">
        <f>'Predial y Agua'!G12</f>
        <v>300634231</v>
      </c>
      <c r="F11" s="425">
        <f t="shared" si="2"/>
        <v>41.850238356255915</v>
      </c>
      <c r="G11" s="171">
        <f>'CENSO 2020'!C13</f>
        <v>187632</v>
      </c>
      <c r="H11" s="171">
        <f t="shared" si="3"/>
        <v>7852443.9232610101</v>
      </c>
      <c r="I11" s="426">
        <f t="shared" si="4"/>
        <v>31.61505618590618</v>
      </c>
      <c r="J11" s="427">
        <f t="shared" si="5"/>
        <v>7475216.2928777663</v>
      </c>
      <c r="K11" s="428">
        <f t="shared" si="0"/>
        <v>11363030.397877766</v>
      </c>
      <c r="L11" s="159">
        <f t="shared" si="6"/>
        <v>31.61505618590618</v>
      </c>
      <c r="M11" s="158">
        <v>27.722322999999999</v>
      </c>
      <c r="N11" s="159">
        <f t="shared" si="7"/>
        <v>3.8927331859061809</v>
      </c>
    </row>
    <row r="12" spans="2:14" x14ac:dyDescent="0.25">
      <c r="B12" s="429" t="s">
        <v>49</v>
      </c>
      <c r="C12" s="422">
        <v>6.63</v>
      </c>
      <c r="D12" s="423">
        <f t="shared" si="1"/>
        <v>2922472.5074999998</v>
      </c>
      <c r="E12" s="424">
        <f>'Predial y Agua'!G13</f>
        <v>33277744</v>
      </c>
      <c r="F12" s="425">
        <f t="shared" si="2"/>
        <v>4.6324781902778893</v>
      </c>
      <c r="G12" s="171">
        <f>'CENSO 2020'!C14</f>
        <v>77436</v>
      </c>
      <c r="H12" s="171">
        <f t="shared" si="3"/>
        <v>358720.58114235866</v>
      </c>
      <c r="I12" s="426">
        <f t="shared" si="4"/>
        <v>1.444260084973245</v>
      </c>
      <c r="J12" s="427">
        <f t="shared" si="5"/>
        <v>341487.81690787873</v>
      </c>
      <c r="K12" s="428">
        <f t="shared" si="0"/>
        <v>3263960.3244078783</v>
      </c>
      <c r="L12" s="159">
        <f t="shared" si="6"/>
        <v>1.444260084973245</v>
      </c>
      <c r="M12" s="158">
        <v>1.5035639999999999</v>
      </c>
      <c r="N12" s="159">
        <f t="shared" si="7"/>
        <v>-5.9303915026754916E-2</v>
      </c>
    </row>
    <row r="13" spans="2:14" x14ac:dyDescent="0.25">
      <c r="B13" s="429" t="s">
        <v>50</v>
      </c>
      <c r="C13" s="422">
        <v>3.22</v>
      </c>
      <c r="D13" s="423">
        <f t="shared" si="1"/>
        <v>1419360.7050000001</v>
      </c>
      <c r="E13" s="424">
        <f>'Predial y Agua'!G14</f>
        <v>119914</v>
      </c>
      <c r="F13" s="425">
        <f t="shared" si="2"/>
        <v>1.6692807953236941E-2</v>
      </c>
      <c r="G13" s="171">
        <f>'CENSO 2020'!C15</f>
        <v>47550</v>
      </c>
      <c r="H13" s="171">
        <f t="shared" si="3"/>
        <v>793.74301817641651</v>
      </c>
      <c r="I13" s="426">
        <f t="shared" si="4"/>
        <v>3.1957222951293461E-3</v>
      </c>
      <c r="J13" s="427">
        <f t="shared" si="5"/>
        <v>755.61198523863698</v>
      </c>
      <c r="K13" s="428">
        <f t="shared" si="0"/>
        <v>1420116.3169852388</v>
      </c>
      <c r="L13" s="159">
        <f t="shared" si="6"/>
        <v>3.1957222951293461E-3</v>
      </c>
      <c r="M13" s="158">
        <v>1.0524E-2</v>
      </c>
      <c r="N13" s="159">
        <f t="shared" si="7"/>
        <v>-7.3282777048706543E-3</v>
      </c>
    </row>
    <row r="14" spans="2:14" x14ac:dyDescent="0.25">
      <c r="B14" s="429" t="s">
        <v>51</v>
      </c>
      <c r="C14" s="422">
        <v>1.1100000000000001</v>
      </c>
      <c r="D14" s="423">
        <f t="shared" si="1"/>
        <v>489282.7275000001</v>
      </c>
      <c r="E14" s="424">
        <f>'Predial y Agua'!G15</f>
        <v>124702</v>
      </c>
      <c r="F14" s="425">
        <f t="shared" si="2"/>
        <v>1.735932866374696E-2</v>
      </c>
      <c r="G14" s="171">
        <f>'CENSO 2020'!C16</f>
        <v>12230</v>
      </c>
      <c r="H14" s="171">
        <f t="shared" si="3"/>
        <v>212.30458955762532</v>
      </c>
      <c r="I14" s="426">
        <f t="shared" si="4"/>
        <v>8.547684762838354E-4</v>
      </c>
      <c r="J14" s="427">
        <f t="shared" si="5"/>
        <v>202.10557915768212</v>
      </c>
      <c r="K14" s="428">
        <f t="shared" si="0"/>
        <v>489484.8330791578</v>
      </c>
      <c r="L14" s="159">
        <f t="shared" si="6"/>
        <v>8.547684762838354E-4</v>
      </c>
      <c r="M14" s="158">
        <v>6.78E-4</v>
      </c>
      <c r="N14" s="159">
        <f t="shared" si="7"/>
        <v>1.767684762838354E-4</v>
      </c>
    </row>
    <row r="15" spans="2:14" x14ac:dyDescent="0.25">
      <c r="B15" s="429" t="s">
        <v>52</v>
      </c>
      <c r="C15" s="422">
        <v>2.71</v>
      </c>
      <c r="D15" s="423">
        <f t="shared" si="1"/>
        <v>1194555.1274999999</v>
      </c>
      <c r="E15" s="424">
        <f>'Predial y Agua'!G16</f>
        <v>12844378</v>
      </c>
      <c r="F15" s="425">
        <f t="shared" si="2"/>
        <v>1.7880208752337641</v>
      </c>
      <c r="G15" s="171">
        <f>'CENSO 2020'!C17</f>
        <v>29299</v>
      </c>
      <c r="H15" s="171">
        <f t="shared" si="3"/>
        <v>52387.223623474056</v>
      </c>
      <c r="I15" s="426">
        <f t="shared" si="4"/>
        <v>0.21091841399511158</v>
      </c>
      <c r="J15" s="427">
        <f t="shared" si="5"/>
        <v>49870.566589948452</v>
      </c>
      <c r="K15" s="428">
        <f t="shared" si="0"/>
        <v>1244425.6940899484</v>
      </c>
      <c r="L15" s="159">
        <f t="shared" si="6"/>
        <v>0.21091841399511158</v>
      </c>
      <c r="M15" s="158">
        <v>0.364313</v>
      </c>
      <c r="N15" s="159">
        <f t="shared" si="7"/>
        <v>-0.15339458600488842</v>
      </c>
    </row>
    <row r="16" spans="2:14" x14ac:dyDescent="0.25">
      <c r="B16" s="429" t="s">
        <v>53</v>
      </c>
      <c r="C16" s="422">
        <v>1.69</v>
      </c>
      <c r="D16" s="423">
        <f t="shared" si="1"/>
        <v>744943.97250000003</v>
      </c>
      <c r="E16" s="424">
        <f>'Predial y Agua'!G17</f>
        <v>3780718</v>
      </c>
      <c r="F16" s="425">
        <f t="shared" si="2"/>
        <v>0.52630051119423971</v>
      </c>
      <c r="G16" s="171">
        <f>'CENSO 2020'!C18</f>
        <v>19321</v>
      </c>
      <c r="H16" s="171">
        <f t="shared" si="3"/>
        <v>10168.652176783906</v>
      </c>
      <c r="I16" s="426">
        <f t="shared" si="4"/>
        <v>4.0940440077724648E-2</v>
      </c>
      <c r="J16" s="427">
        <f t="shared" si="5"/>
        <v>9680.155015603721</v>
      </c>
      <c r="K16" s="428">
        <f t="shared" si="0"/>
        <v>754624.12751560379</v>
      </c>
      <c r="L16" s="159">
        <f t="shared" si="6"/>
        <v>4.0940440077724648E-2</v>
      </c>
      <c r="M16" s="158">
        <v>6.7258999999999999E-2</v>
      </c>
      <c r="N16" s="159">
        <f t="shared" si="7"/>
        <v>-2.6318559922275352E-2</v>
      </c>
    </row>
    <row r="17" spans="2:20" x14ac:dyDescent="0.25">
      <c r="B17" s="429" t="s">
        <v>54</v>
      </c>
      <c r="C17" s="422">
        <v>1.27</v>
      </c>
      <c r="D17" s="423">
        <f t="shared" si="1"/>
        <v>559809.96750000003</v>
      </c>
      <c r="E17" s="424">
        <f>'Predial y Agua'!G18</f>
        <v>692496</v>
      </c>
      <c r="F17" s="425">
        <f t="shared" si="2"/>
        <v>9.6399942762185969E-2</v>
      </c>
      <c r="G17" s="171">
        <f>'CENSO 2020'!C19</f>
        <v>13719</v>
      </c>
      <c r="H17" s="171">
        <f t="shared" si="3"/>
        <v>1322.5108147544292</v>
      </c>
      <c r="I17" s="426">
        <f t="shared" si="4"/>
        <v>5.3246166573789697E-3</v>
      </c>
      <c r="J17" s="427">
        <f t="shared" si="5"/>
        <v>1258.978031116435</v>
      </c>
      <c r="K17" s="428">
        <f t="shared" si="0"/>
        <v>561068.94553111645</v>
      </c>
      <c r="L17" s="159">
        <f t="shared" si="6"/>
        <v>5.3246166573789697E-3</v>
      </c>
      <c r="M17" s="158">
        <v>7.6290000000000004E-3</v>
      </c>
      <c r="N17" s="159">
        <f t="shared" si="7"/>
        <v>-2.3043833426210306E-3</v>
      </c>
    </row>
    <row r="18" spans="2:20" x14ac:dyDescent="0.25">
      <c r="B18" s="429" t="s">
        <v>55</v>
      </c>
      <c r="C18" s="422">
        <v>3.39</v>
      </c>
      <c r="D18" s="423">
        <f t="shared" si="1"/>
        <v>1494295.8975</v>
      </c>
      <c r="E18" s="424">
        <f>'Predial y Agua'!G19</f>
        <v>2398188</v>
      </c>
      <c r="F18" s="425">
        <f t="shared" si="2"/>
        <v>0.33384335206695959</v>
      </c>
      <c r="G18" s="171">
        <f>'CENSO 2020'!C20</f>
        <v>33567</v>
      </c>
      <c r="H18" s="171">
        <f t="shared" si="3"/>
        <v>11206.119798831633</v>
      </c>
      <c r="I18" s="426">
        <f t="shared" si="4"/>
        <v>4.5117432296024516E-2</v>
      </c>
      <c r="J18" s="427">
        <f t="shared" si="5"/>
        <v>10667.783191933779</v>
      </c>
      <c r="K18" s="428">
        <f t="shared" si="0"/>
        <v>1504963.6806919337</v>
      </c>
      <c r="L18" s="159">
        <f t="shared" si="6"/>
        <v>4.5117432296024516E-2</v>
      </c>
      <c r="M18" s="158">
        <v>5.3082999999999998E-2</v>
      </c>
      <c r="N18" s="159">
        <f t="shared" si="7"/>
        <v>-7.9655677039754819E-3</v>
      </c>
    </row>
    <row r="19" spans="2:20" x14ac:dyDescent="0.25">
      <c r="B19" s="429" t="s">
        <v>56</v>
      </c>
      <c r="C19" s="422">
        <v>2.21</v>
      </c>
      <c r="D19" s="423">
        <f t="shared" si="1"/>
        <v>974157.50249999994</v>
      </c>
      <c r="E19" s="424">
        <f>'Predial y Agua'!G20</f>
        <v>3362045</v>
      </c>
      <c r="F19" s="425">
        <f t="shared" si="2"/>
        <v>0.46801850922444826</v>
      </c>
      <c r="G19" s="171">
        <f>'CENSO 2020'!C21</f>
        <v>24096</v>
      </c>
      <c r="H19" s="171">
        <f t="shared" si="3"/>
        <v>11277.373998272305</v>
      </c>
      <c r="I19" s="426">
        <f t="shared" si="4"/>
        <v>4.5404311838344522E-2</v>
      </c>
      <c r="J19" s="427">
        <f t="shared" si="5"/>
        <v>10735.614373894476</v>
      </c>
      <c r="K19" s="428">
        <f t="shared" si="0"/>
        <v>984893.11687389447</v>
      </c>
      <c r="L19" s="159">
        <f t="shared" si="6"/>
        <v>4.5404311838344522E-2</v>
      </c>
      <c r="M19" s="158">
        <v>4.0325E-2</v>
      </c>
      <c r="N19" s="159">
        <f t="shared" si="7"/>
        <v>5.0793118383445218E-3</v>
      </c>
    </row>
    <row r="20" spans="2:20" x14ac:dyDescent="0.25">
      <c r="B20" s="429" t="s">
        <v>57</v>
      </c>
      <c r="C20" s="422">
        <v>3.95</v>
      </c>
      <c r="D20" s="423">
        <f t="shared" si="1"/>
        <v>1741141.2375</v>
      </c>
      <c r="E20" s="424">
        <f>'Predial y Agua'!G21</f>
        <v>5040672</v>
      </c>
      <c r="F20" s="425">
        <f t="shared" si="2"/>
        <v>0.70169429467167099</v>
      </c>
      <c r="G20" s="171">
        <f>'CENSO 2020'!C22</f>
        <v>41518</v>
      </c>
      <c r="H20" s="171">
        <f t="shared" si="3"/>
        <v>29132.943726178437</v>
      </c>
      <c r="I20" s="426">
        <f t="shared" si="4"/>
        <v>0.11729337538286799</v>
      </c>
      <c r="J20" s="427">
        <f t="shared" si="5"/>
        <v>27733.411117564687</v>
      </c>
      <c r="K20" s="428">
        <f t="shared" si="0"/>
        <v>1768874.6486175647</v>
      </c>
      <c r="L20" s="159">
        <f t="shared" si="6"/>
        <v>0.11729337538286799</v>
      </c>
      <c r="M20" s="158">
        <v>0.15141299999999999</v>
      </c>
      <c r="N20" s="159">
        <f t="shared" si="7"/>
        <v>-3.4119624617131999E-2</v>
      </c>
    </row>
    <row r="21" spans="2:20" x14ac:dyDescent="0.25">
      <c r="B21" s="429" t="s">
        <v>58</v>
      </c>
      <c r="C21" s="422">
        <v>0.75</v>
      </c>
      <c r="D21" s="423">
        <f t="shared" si="1"/>
        <v>330596.4375</v>
      </c>
      <c r="E21" s="424">
        <f>'Predial y Agua'!G22</f>
        <v>1848192</v>
      </c>
      <c r="F21" s="425">
        <f t="shared" si="2"/>
        <v>0.25728033521280991</v>
      </c>
      <c r="G21" s="171">
        <f>'CENSO 2020'!C23</f>
        <v>7683</v>
      </c>
      <c r="H21" s="171">
        <f t="shared" si="3"/>
        <v>1976.6848154400186</v>
      </c>
      <c r="I21" s="426">
        <f t="shared" si="4"/>
        <v>7.9584142354513394E-3</v>
      </c>
      <c r="J21" s="427">
        <f t="shared" si="5"/>
        <v>1881.7258273555406</v>
      </c>
      <c r="K21" s="428">
        <f t="shared" si="0"/>
        <v>332478.16332735552</v>
      </c>
      <c r="L21" s="159">
        <f t="shared" si="6"/>
        <v>7.9584142354513394E-3</v>
      </c>
      <c r="M21" s="158">
        <v>7.8689999999999993E-3</v>
      </c>
      <c r="N21" s="159">
        <f t="shared" si="7"/>
        <v>8.9414235451340182E-5</v>
      </c>
    </row>
    <row r="22" spans="2:20" x14ac:dyDescent="0.25">
      <c r="B22" s="429" t="s">
        <v>59</v>
      </c>
      <c r="C22" s="422">
        <v>2.2799999999999998</v>
      </c>
      <c r="D22" s="423">
        <f t="shared" si="1"/>
        <v>1005013.1699999998</v>
      </c>
      <c r="E22" s="424">
        <f>'Predial y Agua'!G23</f>
        <v>3282568</v>
      </c>
      <c r="F22" s="425">
        <f t="shared" si="2"/>
        <v>0.45695479441467279</v>
      </c>
      <c r="G22" s="171">
        <f>'CENSO 2020'!C24</f>
        <v>24911</v>
      </c>
      <c r="H22" s="171">
        <f t="shared" si="3"/>
        <v>11383.200883663914</v>
      </c>
      <c r="I22" s="426">
        <f t="shared" si="4"/>
        <v>4.5830385932006529E-2</v>
      </c>
      <c r="J22" s="427">
        <f t="shared" si="5"/>
        <v>10836.357386596606</v>
      </c>
      <c r="K22" s="428">
        <f t="shared" si="0"/>
        <v>1015849.5273865964</v>
      </c>
      <c r="L22" s="159">
        <f t="shared" si="6"/>
        <v>4.5830385932006529E-2</v>
      </c>
      <c r="M22" s="158">
        <v>8.7175000000000002E-2</v>
      </c>
      <c r="N22" s="159">
        <f t="shared" si="7"/>
        <v>-4.1344614067993474E-2</v>
      </c>
    </row>
    <row r="23" spans="2:20" x14ac:dyDescent="0.25">
      <c r="B23" s="429" t="s">
        <v>60</v>
      </c>
      <c r="C23" s="422">
        <v>8.8800000000000008</v>
      </c>
      <c r="D23" s="423">
        <f t="shared" si="1"/>
        <v>3914261.8200000008</v>
      </c>
      <c r="E23" s="424">
        <f>'Predial y Agua'!G24</f>
        <v>16581584</v>
      </c>
      <c r="F23" s="425">
        <f t="shared" si="2"/>
        <v>2.3082642333044214</v>
      </c>
      <c r="G23" s="171">
        <f>'CENSO 2020'!C25</f>
        <v>93981</v>
      </c>
      <c r="H23" s="171">
        <f t="shared" si="3"/>
        <v>216932.98091018284</v>
      </c>
      <c r="I23" s="426">
        <f t="shared" si="4"/>
        <v>0.87340303822295473</v>
      </c>
      <c r="J23" s="427">
        <f t="shared" si="5"/>
        <v>206511.62481513195</v>
      </c>
      <c r="K23" s="428">
        <f t="shared" si="0"/>
        <v>4120773.4448151328</v>
      </c>
      <c r="L23" s="159">
        <f t="shared" si="6"/>
        <v>0.87340303822295473</v>
      </c>
      <c r="M23" s="158">
        <v>1.2821199999999999</v>
      </c>
      <c r="N23" s="159">
        <f t="shared" si="7"/>
        <v>-0.4087169617770452</v>
      </c>
    </row>
    <row r="24" spans="2:20" x14ac:dyDescent="0.25">
      <c r="B24" s="429" t="s">
        <v>61</v>
      </c>
      <c r="C24" s="422">
        <v>3.92</v>
      </c>
      <c r="D24" s="423">
        <f t="shared" si="1"/>
        <v>1727917.38</v>
      </c>
      <c r="E24" s="424">
        <f>'Predial y Agua'!G25</f>
        <v>5174485</v>
      </c>
      <c r="F24" s="425">
        <f t="shared" si="2"/>
        <v>0.72032193373505382</v>
      </c>
      <c r="G24" s="171">
        <f>'CENSO 2020'!C26</f>
        <v>37135</v>
      </c>
      <c r="H24" s="171">
        <f t="shared" si="3"/>
        <v>26749.155009251223</v>
      </c>
      <c r="I24" s="426">
        <f t="shared" si="4"/>
        <v>0.1076959029325731</v>
      </c>
      <c r="J24" s="427">
        <f t="shared" si="5"/>
        <v>25464.138464401647</v>
      </c>
      <c r="K24" s="428">
        <f t="shared" si="0"/>
        <v>1753381.5184644016</v>
      </c>
      <c r="L24" s="159">
        <f t="shared" si="6"/>
        <v>0.1076959029325731</v>
      </c>
      <c r="M24" s="158">
        <v>0.39474799999999999</v>
      </c>
      <c r="N24" s="159">
        <f t="shared" si="7"/>
        <v>-0.2870520970674269</v>
      </c>
    </row>
    <row r="25" spans="2:20" x14ac:dyDescent="0.25">
      <c r="B25" s="429" t="s">
        <v>62</v>
      </c>
      <c r="C25" s="422">
        <v>35.42</v>
      </c>
      <c r="D25" s="423">
        <f t="shared" si="1"/>
        <v>15612967.755000001</v>
      </c>
      <c r="E25" s="424">
        <f>'Predial y Agua'!G26</f>
        <v>266520773</v>
      </c>
      <c r="F25" s="425">
        <f t="shared" si="2"/>
        <v>37.10142334704252</v>
      </c>
      <c r="G25" s="171">
        <f>'CENSO 2020'!C27</f>
        <v>425924</v>
      </c>
      <c r="H25" s="171">
        <f t="shared" si="3"/>
        <v>15802386.637665737</v>
      </c>
      <c r="I25" s="426">
        <f t="shared" si="4"/>
        <v>63.622656373423837</v>
      </c>
      <c r="J25" s="427">
        <f t="shared" si="5"/>
        <v>15043247.581853047</v>
      </c>
      <c r="K25" s="428">
        <f t="shared" si="0"/>
        <v>30656215.33685305</v>
      </c>
      <c r="L25" s="159">
        <f t="shared" si="6"/>
        <v>63.622656373423837</v>
      </c>
      <c r="M25" s="158">
        <v>66.428610000000006</v>
      </c>
      <c r="N25" s="159">
        <f t="shared" si="7"/>
        <v>-2.8059536265761693</v>
      </c>
    </row>
    <row r="26" spans="2:20" x14ac:dyDescent="0.25">
      <c r="B26" s="429" t="s">
        <v>63</v>
      </c>
      <c r="C26" s="422">
        <v>3</v>
      </c>
      <c r="D26" s="423">
        <f t="shared" si="1"/>
        <v>1322385.75</v>
      </c>
      <c r="E26" s="424">
        <f>'Predial y Agua'!G27</f>
        <v>3902448</v>
      </c>
      <c r="F26" s="425">
        <f t="shared" si="2"/>
        <v>0.54324611814711865</v>
      </c>
      <c r="G26" s="171">
        <f>'CENSO 2020'!C28</f>
        <v>30064</v>
      </c>
      <c r="H26" s="171">
        <f t="shared" si="3"/>
        <v>16332.151295974974</v>
      </c>
      <c r="I26" s="426">
        <f t="shared" si="4"/>
        <v>6.5755564242799422E-2</v>
      </c>
      <c r="J26" s="427">
        <f t="shared" si="5"/>
        <v>15547.562600703821</v>
      </c>
      <c r="K26" s="428">
        <f t="shared" si="0"/>
        <v>1337933.3126007039</v>
      </c>
      <c r="L26" s="159">
        <f t="shared" si="6"/>
        <v>6.5755564242799422E-2</v>
      </c>
      <c r="M26" s="158">
        <v>4.3832000000000003E-2</v>
      </c>
      <c r="N26" s="159">
        <f t="shared" si="7"/>
        <v>2.1923564242799419E-2</v>
      </c>
    </row>
    <row r="27" spans="2:20" ht="15.75" thickBot="1" x14ac:dyDescent="0.3">
      <c r="B27" s="429" t="s">
        <v>64</v>
      </c>
      <c r="C27" s="430">
        <v>4.5199999999999996</v>
      </c>
      <c r="D27" s="431">
        <f t="shared" si="1"/>
        <v>1992394.5299999998</v>
      </c>
      <c r="E27" s="432">
        <f>'Predial y Agua'!G28</f>
        <v>40126137</v>
      </c>
      <c r="F27" s="433">
        <f t="shared" si="2"/>
        <v>5.5858189939979912</v>
      </c>
      <c r="G27" s="171">
        <f>'CENSO 2020'!C29</f>
        <v>65229</v>
      </c>
      <c r="H27" s="188">
        <f t="shared" si="3"/>
        <v>364357.38715949497</v>
      </c>
      <c r="I27" s="434">
        <f t="shared" si="4"/>
        <v>1.4669546677913303</v>
      </c>
      <c r="J27" s="435">
        <f t="shared" si="5"/>
        <v>346853.8334742969</v>
      </c>
      <c r="K27" s="436">
        <f t="shared" si="0"/>
        <v>2339248.3634742969</v>
      </c>
      <c r="L27" s="159">
        <f t="shared" si="6"/>
        <v>1.4669546677913303</v>
      </c>
      <c r="M27" s="158">
        <v>1.431076</v>
      </c>
      <c r="N27" s="159">
        <f t="shared" si="7"/>
        <v>3.587866779133031E-2</v>
      </c>
    </row>
    <row r="28" spans="2:20" ht="15.75" thickBot="1" x14ac:dyDescent="0.3">
      <c r="B28" s="437" t="s">
        <v>65</v>
      </c>
      <c r="C28" s="438">
        <f t="shared" ref="C28:H28" si="8">SUM(C8:C27)</f>
        <v>100.00000000000001</v>
      </c>
      <c r="D28" s="439">
        <f>Datos!K35</f>
        <v>44079525</v>
      </c>
      <c r="E28" s="440">
        <f t="shared" si="8"/>
        <v>718357273</v>
      </c>
      <c r="F28" s="441">
        <f t="shared" si="8"/>
        <v>99.999999999999986</v>
      </c>
      <c r="G28" s="135">
        <f t="shared" si="8"/>
        <v>1235456</v>
      </c>
      <c r="H28" s="135">
        <f t="shared" si="8"/>
        <v>24837671.889893986</v>
      </c>
      <c r="I28" s="361">
        <f t="shared" si="4"/>
        <v>100</v>
      </c>
      <c r="J28" s="442">
        <f>Datos!K36</f>
        <v>23644482.075000003</v>
      </c>
      <c r="K28" s="443">
        <f>SUM(K8:K27)</f>
        <v>67724007.075000003</v>
      </c>
      <c r="L28" s="160">
        <f t="shared" ref="L28:N28" si="9">SUM(L8:L27)</f>
        <v>100</v>
      </c>
      <c r="M28" s="160">
        <f t="shared" si="9"/>
        <v>99.999999000000003</v>
      </c>
      <c r="N28" s="160">
        <f t="shared" si="9"/>
        <v>9.9999998095373632E-7</v>
      </c>
    </row>
    <row r="29" spans="2:20" x14ac:dyDescent="0.25">
      <c r="B29" s="1073" t="s">
        <v>295</v>
      </c>
      <c r="C29" s="1073"/>
      <c r="D29" s="1073"/>
      <c r="E29" s="1073"/>
      <c r="F29" s="1073"/>
      <c r="G29" s="1073"/>
      <c r="H29" s="102"/>
      <c r="I29" s="5"/>
    </row>
    <row r="30" spans="2:20" x14ac:dyDescent="0.25">
      <c r="B30" s="1075" t="s">
        <v>294</v>
      </c>
      <c r="C30" s="1075"/>
      <c r="D30" s="1075"/>
      <c r="E30" s="1075"/>
      <c r="F30" s="1075"/>
      <c r="G30" s="1075"/>
      <c r="H30" s="1075"/>
      <c r="I30" s="1075"/>
      <c r="J30" s="1075"/>
      <c r="K30" s="1075"/>
    </row>
    <row r="31" spans="2:20" ht="41.25" customHeight="1" x14ac:dyDescent="0.25">
      <c r="B31" s="1074" t="s">
        <v>297</v>
      </c>
      <c r="C31" s="1074"/>
      <c r="D31" s="1074"/>
      <c r="E31" s="1074"/>
      <c r="F31" s="1074"/>
      <c r="G31" s="1074"/>
      <c r="H31" s="1074"/>
      <c r="I31" s="1074"/>
      <c r="J31" s="1074"/>
      <c r="K31" s="1074"/>
    </row>
    <row r="32" spans="2:20" ht="15" customHeight="1" x14ac:dyDescent="0.25">
      <c r="B32" s="1077" t="s">
        <v>382</v>
      </c>
      <c r="C32" s="1034"/>
      <c r="D32" s="1034"/>
      <c r="E32" s="1034"/>
      <c r="F32" s="1034"/>
      <c r="G32" s="1034"/>
      <c r="H32" s="1034"/>
      <c r="I32" s="1034"/>
      <c r="J32" s="1034"/>
      <c r="K32" s="1034"/>
      <c r="L32" s="536"/>
      <c r="M32" s="536"/>
      <c r="N32" s="536"/>
      <c r="O32" s="536"/>
      <c r="P32" s="536"/>
      <c r="Q32" s="536"/>
      <c r="R32" s="536"/>
      <c r="S32" s="536"/>
      <c r="T32" s="536"/>
    </row>
    <row r="33" spans="2:20" ht="23.25" customHeight="1" x14ac:dyDescent="0.25">
      <c r="B33" s="1034" t="s">
        <v>298</v>
      </c>
      <c r="C33" s="1034"/>
      <c r="D33" s="1034"/>
      <c r="E33" s="1034"/>
      <c r="F33" s="1034"/>
      <c r="G33" s="1034"/>
      <c r="H33" s="1034"/>
      <c r="I33" s="1034"/>
      <c r="J33" s="1034"/>
      <c r="K33" s="1034"/>
      <c r="L33" s="536"/>
      <c r="M33" s="536"/>
      <c r="N33" s="536"/>
      <c r="O33" s="536"/>
      <c r="P33" s="536"/>
      <c r="Q33" s="536"/>
      <c r="R33" s="536"/>
      <c r="S33" s="536"/>
      <c r="T33" s="536"/>
    </row>
    <row r="34" spans="2:20" ht="24.75" customHeight="1" x14ac:dyDescent="0.25">
      <c r="B34" s="1074"/>
      <c r="C34" s="1074"/>
      <c r="D34" s="1074"/>
      <c r="E34" s="1074"/>
      <c r="F34" s="1074"/>
      <c r="G34" s="1074"/>
      <c r="H34" s="1074"/>
      <c r="I34" s="1074"/>
      <c r="J34" s="1074"/>
      <c r="K34" s="1074"/>
    </row>
    <row r="35" spans="2:20" x14ac:dyDescent="0.25">
      <c r="F35" s="1072"/>
      <c r="G35" s="1072"/>
      <c r="H35" s="1072"/>
      <c r="I35" s="1072"/>
      <c r="J35" s="1072"/>
      <c r="K35" s="1072"/>
    </row>
  </sheetData>
  <mergeCells count="19">
    <mergeCell ref="B2:K2"/>
    <mergeCell ref="B32:K32"/>
    <mergeCell ref="B33:K33"/>
    <mergeCell ref="B1:K1"/>
    <mergeCell ref="B4:B7"/>
    <mergeCell ref="E4:E6"/>
    <mergeCell ref="G4:G6"/>
    <mergeCell ref="H4:H6"/>
    <mergeCell ref="I4:I6"/>
    <mergeCell ref="J4:J6"/>
    <mergeCell ref="K4:K6"/>
    <mergeCell ref="F4:F6"/>
    <mergeCell ref="D4:D6"/>
    <mergeCell ref="C4:C6"/>
    <mergeCell ref="F35:K35"/>
    <mergeCell ref="B29:G29"/>
    <mergeCell ref="B34:K34"/>
    <mergeCell ref="B30:K30"/>
    <mergeCell ref="B31:K31"/>
  </mergeCells>
  <pageMargins left="0.70866141732283472" right="0.36" top="0.74803149606299213" bottom="0.74803149606299213" header="0.31496062992125984" footer="0.31496062992125984"/>
  <pageSetup scale="97" orientation="landscape" r:id="rId1"/>
  <ignoredErrors>
    <ignoredError sqref="C7:G7 J7" numberStoredAsText="1"/>
  </ignoredError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tabColor rgb="FFFFFF00"/>
  </sheetPr>
  <dimension ref="A1:Z118"/>
  <sheetViews>
    <sheetView workbookViewId="0">
      <selection activeCell="A5" sqref="A5:M5"/>
    </sheetView>
  </sheetViews>
  <sheetFormatPr baseColWidth="10" defaultRowHeight="12.75" x14ac:dyDescent="0.2"/>
  <cols>
    <col min="1" max="1" width="16.42578125" style="640" bestFit="1" customWidth="1"/>
    <col min="2" max="2" width="13.7109375" style="640" bestFit="1" customWidth="1"/>
    <col min="3" max="3" width="15.28515625" style="640" bestFit="1" customWidth="1"/>
    <col min="4" max="4" width="13.7109375" style="640" bestFit="1" customWidth="1"/>
    <col min="5" max="5" width="15.28515625" style="640" bestFit="1" customWidth="1"/>
    <col min="6" max="12" width="13.7109375" style="640" bestFit="1" customWidth="1"/>
    <col min="13" max="13" width="13.7109375" style="640" customWidth="1"/>
    <col min="14" max="15" width="13.7109375" style="640" bestFit="1" customWidth="1"/>
    <col min="16" max="16" width="16.42578125" style="640" bestFit="1" customWidth="1"/>
    <col min="17" max="256" width="11.42578125" style="640"/>
    <col min="257" max="257" width="15.28515625" style="640" bestFit="1" customWidth="1"/>
    <col min="258" max="258" width="13.7109375" style="640" bestFit="1" customWidth="1"/>
    <col min="259" max="259" width="18.42578125" style="640" bestFit="1" customWidth="1"/>
    <col min="260" max="270" width="13.7109375" style="640" bestFit="1" customWidth="1"/>
    <col min="271" max="512" width="11.42578125" style="640"/>
    <col min="513" max="513" width="15.28515625" style="640" bestFit="1" customWidth="1"/>
    <col min="514" max="514" width="13.7109375" style="640" bestFit="1" customWidth="1"/>
    <col min="515" max="515" width="18.42578125" style="640" bestFit="1" customWidth="1"/>
    <col min="516" max="526" width="13.7109375" style="640" bestFit="1" customWidth="1"/>
    <col min="527" max="768" width="11.42578125" style="640"/>
    <col min="769" max="769" width="15.28515625" style="640" bestFit="1" customWidth="1"/>
    <col min="770" max="770" width="13.7109375" style="640" bestFit="1" customWidth="1"/>
    <col min="771" max="771" width="18.42578125" style="640" bestFit="1" customWidth="1"/>
    <col min="772" max="782" width="13.7109375" style="640" bestFit="1" customWidth="1"/>
    <col min="783" max="1024" width="11.42578125" style="640"/>
    <col min="1025" max="1025" width="15.28515625" style="640" bestFit="1" customWidth="1"/>
    <col min="1026" max="1026" width="13.7109375" style="640" bestFit="1" customWidth="1"/>
    <col min="1027" max="1027" width="18.42578125" style="640" bestFit="1" customWidth="1"/>
    <col min="1028" max="1038" width="13.7109375" style="640" bestFit="1" customWidth="1"/>
    <col min="1039" max="1280" width="11.42578125" style="640"/>
    <col min="1281" max="1281" width="15.28515625" style="640" bestFit="1" customWidth="1"/>
    <col min="1282" max="1282" width="13.7109375" style="640" bestFit="1" customWidth="1"/>
    <col min="1283" max="1283" width="18.42578125" style="640" bestFit="1" customWidth="1"/>
    <col min="1284" max="1294" width="13.7109375" style="640" bestFit="1" customWidth="1"/>
    <col min="1295" max="1536" width="11.42578125" style="640"/>
    <col min="1537" max="1537" width="15.28515625" style="640" bestFit="1" customWidth="1"/>
    <col min="1538" max="1538" width="13.7109375" style="640" bestFit="1" customWidth="1"/>
    <col min="1539" max="1539" width="18.42578125" style="640" bestFit="1" customWidth="1"/>
    <col min="1540" max="1550" width="13.7109375" style="640" bestFit="1" customWidth="1"/>
    <col min="1551" max="1792" width="11.42578125" style="640"/>
    <col min="1793" max="1793" width="15.28515625" style="640" bestFit="1" customWidth="1"/>
    <col min="1794" max="1794" width="13.7109375" style="640" bestFit="1" customWidth="1"/>
    <col min="1795" max="1795" width="18.42578125" style="640" bestFit="1" customWidth="1"/>
    <col min="1796" max="1806" width="13.7109375" style="640" bestFit="1" customWidth="1"/>
    <col min="1807" max="2048" width="11.42578125" style="640"/>
    <col min="2049" max="2049" width="15.28515625" style="640" bestFit="1" customWidth="1"/>
    <col min="2050" max="2050" width="13.7109375" style="640" bestFit="1" customWidth="1"/>
    <col min="2051" max="2051" width="18.42578125" style="640" bestFit="1" customWidth="1"/>
    <col min="2052" max="2062" width="13.7109375" style="640" bestFit="1" customWidth="1"/>
    <col min="2063" max="2304" width="11.42578125" style="640"/>
    <col min="2305" max="2305" width="15.28515625" style="640" bestFit="1" customWidth="1"/>
    <col min="2306" max="2306" width="13.7109375" style="640" bestFit="1" customWidth="1"/>
    <col min="2307" max="2307" width="18.42578125" style="640" bestFit="1" customWidth="1"/>
    <col min="2308" max="2318" width="13.7109375" style="640" bestFit="1" customWidth="1"/>
    <col min="2319" max="2560" width="11.42578125" style="640"/>
    <col min="2561" max="2561" width="15.28515625" style="640" bestFit="1" customWidth="1"/>
    <col min="2562" max="2562" width="13.7109375" style="640" bestFit="1" customWidth="1"/>
    <col min="2563" max="2563" width="18.42578125" style="640" bestFit="1" customWidth="1"/>
    <col min="2564" max="2574" width="13.7109375" style="640" bestFit="1" customWidth="1"/>
    <col min="2575" max="2816" width="11.42578125" style="640"/>
    <col min="2817" max="2817" width="15.28515625" style="640" bestFit="1" customWidth="1"/>
    <col min="2818" max="2818" width="13.7109375" style="640" bestFit="1" customWidth="1"/>
    <col min="2819" max="2819" width="18.42578125" style="640" bestFit="1" customWidth="1"/>
    <col min="2820" max="2830" width="13.7109375" style="640" bestFit="1" customWidth="1"/>
    <col min="2831" max="3072" width="11.42578125" style="640"/>
    <col min="3073" max="3073" width="15.28515625" style="640" bestFit="1" customWidth="1"/>
    <col min="3074" max="3074" width="13.7109375" style="640" bestFit="1" customWidth="1"/>
    <col min="3075" max="3075" width="18.42578125" style="640" bestFit="1" customWidth="1"/>
    <col min="3076" max="3086" width="13.7109375" style="640" bestFit="1" customWidth="1"/>
    <col min="3087" max="3328" width="11.42578125" style="640"/>
    <col min="3329" max="3329" width="15.28515625" style="640" bestFit="1" customWidth="1"/>
    <col min="3330" max="3330" width="13.7109375" style="640" bestFit="1" customWidth="1"/>
    <col min="3331" max="3331" width="18.42578125" style="640" bestFit="1" customWidth="1"/>
    <col min="3332" max="3342" width="13.7109375" style="640" bestFit="1" customWidth="1"/>
    <col min="3343" max="3584" width="11.42578125" style="640"/>
    <col min="3585" max="3585" width="15.28515625" style="640" bestFit="1" customWidth="1"/>
    <col min="3586" max="3586" width="13.7109375" style="640" bestFit="1" customWidth="1"/>
    <col min="3587" max="3587" width="18.42578125" style="640" bestFit="1" customWidth="1"/>
    <col min="3588" max="3598" width="13.7109375" style="640" bestFit="1" customWidth="1"/>
    <col min="3599" max="3840" width="11.42578125" style="640"/>
    <col min="3841" max="3841" width="15.28515625" style="640" bestFit="1" customWidth="1"/>
    <col min="3842" max="3842" width="13.7109375" style="640" bestFit="1" customWidth="1"/>
    <col min="3843" max="3843" width="18.42578125" style="640" bestFit="1" customWidth="1"/>
    <col min="3844" max="3854" width="13.7109375" style="640" bestFit="1" customWidth="1"/>
    <col min="3855" max="4096" width="11.42578125" style="640"/>
    <col min="4097" max="4097" width="15.28515625" style="640" bestFit="1" customWidth="1"/>
    <col min="4098" max="4098" width="13.7109375" style="640" bestFit="1" customWidth="1"/>
    <col min="4099" max="4099" width="18.42578125" style="640" bestFit="1" customWidth="1"/>
    <col min="4100" max="4110" width="13.7109375" style="640" bestFit="1" customWidth="1"/>
    <col min="4111" max="4352" width="11.42578125" style="640"/>
    <col min="4353" max="4353" width="15.28515625" style="640" bestFit="1" customWidth="1"/>
    <col min="4354" max="4354" width="13.7109375" style="640" bestFit="1" customWidth="1"/>
    <col min="4355" max="4355" width="18.42578125" style="640" bestFit="1" customWidth="1"/>
    <col min="4356" max="4366" width="13.7109375" style="640" bestFit="1" customWidth="1"/>
    <col min="4367" max="4608" width="11.42578125" style="640"/>
    <col min="4609" max="4609" width="15.28515625" style="640" bestFit="1" customWidth="1"/>
    <col min="4610" max="4610" width="13.7109375" style="640" bestFit="1" customWidth="1"/>
    <col min="4611" max="4611" width="18.42578125" style="640" bestFit="1" customWidth="1"/>
    <col min="4612" max="4622" width="13.7109375" style="640" bestFit="1" customWidth="1"/>
    <col min="4623" max="4864" width="11.42578125" style="640"/>
    <col min="4865" max="4865" width="15.28515625" style="640" bestFit="1" customWidth="1"/>
    <col min="4866" max="4866" width="13.7109375" style="640" bestFit="1" customWidth="1"/>
    <col min="4867" max="4867" width="18.42578125" style="640" bestFit="1" customWidth="1"/>
    <col min="4868" max="4878" width="13.7109375" style="640" bestFit="1" customWidth="1"/>
    <col min="4879" max="5120" width="11.42578125" style="640"/>
    <col min="5121" max="5121" width="15.28515625" style="640" bestFit="1" customWidth="1"/>
    <col min="5122" max="5122" width="13.7109375" style="640" bestFit="1" customWidth="1"/>
    <col min="5123" max="5123" width="18.42578125" style="640" bestFit="1" customWidth="1"/>
    <col min="5124" max="5134" width="13.7109375" style="640" bestFit="1" customWidth="1"/>
    <col min="5135" max="5376" width="11.42578125" style="640"/>
    <col min="5377" max="5377" width="15.28515625" style="640" bestFit="1" customWidth="1"/>
    <col min="5378" max="5378" width="13.7109375" style="640" bestFit="1" customWidth="1"/>
    <col min="5379" max="5379" width="18.42578125" style="640" bestFit="1" customWidth="1"/>
    <col min="5380" max="5390" width="13.7109375" style="640" bestFit="1" customWidth="1"/>
    <col min="5391" max="5632" width="11.42578125" style="640"/>
    <col min="5633" max="5633" width="15.28515625" style="640" bestFit="1" customWidth="1"/>
    <col min="5634" max="5634" width="13.7109375" style="640" bestFit="1" customWidth="1"/>
    <col min="5635" max="5635" width="18.42578125" style="640" bestFit="1" customWidth="1"/>
    <col min="5636" max="5646" width="13.7109375" style="640" bestFit="1" customWidth="1"/>
    <col min="5647" max="5888" width="11.42578125" style="640"/>
    <col min="5889" max="5889" width="15.28515625" style="640" bestFit="1" customWidth="1"/>
    <col min="5890" max="5890" width="13.7109375" style="640" bestFit="1" customWidth="1"/>
    <col min="5891" max="5891" width="18.42578125" style="640" bestFit="1" customWidth="1"/>
    <col min="5892" max="5902" width="13.7109375" style="640" bestFit="1" customWidth="1"/>
    <col min="5903" max="6144" width="11.42578125" style="640"/>
    <col min="6145" max="6145" width="15.28515625" style="640" bestFit="1" customWidth="1"/>
    <col min="6146" max="6146" width="13.7109375" style="640" bestFit="1" customWidth="1"/>
    <col min="6147" max="6147" width="18.42578125" style="640" bestFit="1" customWidth="1"/>
    <col min="6148" max="6158" width="13.7109375" style="640" bestFit="1" customWidth="1"/>
    <col min="6159" max="6400" width="11.42578125" style="640"/>
    <col min="6401" max="6401" width="15.28515625" style="640" bestFit="1" customWidth="1"/>
    <col min="6402" max="6402" width="13.7109375" style="640" bestFit="1" customWidth="1"/>
    <col min="6403" max="6403" width="18.42578125" style="640" bestFit="1" customWidth="1"/>
    <col min="6404" max="6414" width="13.7109375" style="640" bestFit="1" customWidth="1"/>
    <col min="6415" max="6656" width="11.42578125" style="640"/>
    <col min="6657" max="6657" width="15.28515625" style="640" bestFit="1" customWidth="1"/>
    <col min="6658" max="6658" width="13.7109375" style="640" bestFit="1" customWidth="1"/>
    <col min="6659" max="6659" width="18.42578125" style="640" bestFit="1" customWidth="1"/>
    <col min="6660" max="6670" width="13.7109375" style="640" bestFit="1" customWidth="1"/>
    <col min="6671" max="6912" width="11.42578125" style="640"/>
    <col min="6913" max="6913" width="15.28515625" style="640" bestFit="1" customWidth="1"/>
    <col min="6914" max="6914" width="13.7109375" style="640" bestFit="1" customWidth="1"/>
    <col min="6915" max="6915" width="18.42578125" style="640" bestFit="1" customWidth="1"/>
    <col min="6916" max="6926" width="13.7109375" style="640" bestFit="1" customWidth="1"/>
    <col min="6927" max="7168" width="11.42578125" style="640"/>
    <col min="7169" max="7169" width="15.28515625" style="640" bestFit="1" customWidth="1"/>
    <col min="7170" max="7170" width="13.7109375" style="640" bestFit="1" customWidth="1"/>
    <col min="7171" max="7171" width="18.42578125" style="640" bestFit="1" customWidth="1"/>
    <col min="7172" max="7182" width="13.7109375" style="640" bestFit="1" customWidth="1"/>
    <col min="7183" max="7424" width="11.42578125" style="640"/>
    <col min="7425" max="7425" width="15.28515625" style="640" bestFit="1" customWidth="1"/>
    <col min="7426" max="7426" width="13.7109375" style="640" bestFit="1" customWidth="1"/>
    <col min="7427" max="7427" width="18.42578125" style="640" bestFit="1" customWidth="1"/>
    <col min="7428" max="7438" width="13.7109375" style="640" bestFit="1" customWidth="1"/>
    <col min="7439" max="7680" width="11.42578125" style="640"/>
    <col min="7681" max="7681" width="15.28515625" style="640" bestFit="1" customWidth="1"/>
    <col min="7682" max="7682" width="13.7109375" style="640" bestFit="1" customWidth="1"/>
    <col min="7683" max="7683" width="18.42578125" style="640" bestFit="1" customWidth="1"/>
    <col min="7684" max="7694" width="13.7109375" style="640" bestFit="1" customWidth="1"/>
    <col min="7695" max="7936" width="11.42578125" style="640"/>
    <col min="7937" max="7937" width="15.28515625" style="640" bestFit="1" customWidth="1"/>
    <col min="7938" max="7938" width="13.7109375" style="640" bestFit="1" customWidth="1"/>
    <col min="7939" max="7939" width="18.42578125" style="640" bestFit="1" customWidth="1"/>
    <col min="7940" max="7950" width="13.7109375" style="640" bestFit="1" customWidth="1"/>
    <col min="7951" max="8192" width="11.42578125" style="640"/>
    <col min="8193" max="8193" width="15.28515625" style="640" bestFit="1" customWidth="1"/>
    <col min="8194" max="8194" width="13.7109375" style="640" bestFit="1" customWidth="1"/>
    <col min="8195" max="8195" width="18.42578125" style="640" bestFit="1" customWidth="1"/>
    <col min="8196" max="8206" width="13.7109375" style="640" bestFit="1" customWidth="1"/>
    <col min="8207" max="8448" width="11.42578125" style="640"/>
    <col min="8449" max="8449" width="15.28515625" style="640" bestFit="1" customWidth="1"/>
    <col min="8450" max="8450" width="13.7109375" style="640" bestFit="1" customWidth="1"/>
    <col min="8451" max="8451" width="18.42578125" style="640" bestFit="1" customWidth="1"/>
    <col min="8452" max="8462" width="13.7109375" style="640" bestFit="1" customWidth="1"/>
    <col min="8463" max="8704" width="11.42578125" style="640"/>
    <col min="8705" max="8705" width="15.28515625" style="640" bestFit="1" customWidth="1"/>
    <col min="8706" max="8706" width="13.7109375" style="640" bestFit="1" customWidth="1"/>
    <col min="8707" max="8707" width="18.42578125" style="640" bestFit="1" customWidth="1"/>
    <col min="8708" max="8718" width="13.7109375" style="640" bestFit="1" customWidth="1"/>
    <col min="8719" max="8960" width="11.42578125" style="640"/>
    <col min="8961" max="8961" width="15.28515625" style="640" bestFit="1" customWidth="1"/>
    <col min="8962" max="8962" width="13.7109375" style="640" bestFit="1" customWidth="1"/>
    <col min="8963" max="8963" width="18.42578125" style="640" bestFit="1" customWidth="1"/>
    <col min="8964" max="8974" width="13.7109375" style="640" bestFit="1" customWidth="1"/>
    <col min="8975" max="9216" width="11.42578125" style="640"/>
    <col min="9217" max="9217" width="15.28515625" style="640" bestFit="1" customWidth="1"/>
    <col min="9218" max="9218" width="13.7109375" style="640" bestFit="1" customWidth="1"/>
    <col min="9219" max="9219" width="18.42578125" style="640" bestFit="1" customWidth="1"/>
    <col min="9220" max="9230" width="13.7109375" style="640" bestFit="1" customWidth="1"/>
    <col min="9231" max="9472" width="11.42578125" style="640"/>
    <col min="9473" max="9473" width="15.28515625" style="640" bestFit="1" customWidth="1"/>
    <col min="9474" max="9474" width="13.7109375" style="640" bestFit="1" customWidth="1"/>
    <col min="9475" max="9475" width="18.42578125" style="640" bestFit="1" customWidth="1"/>
    <col min="9476" max="9486" width="13.7109375" style="640" bestFit="1" customWidth="1"/>
    <col min="9487" max="9728" width="11.42578125" style="640"/>
    <col min="9729" max="9729" width="15.28515625" style="640" bestFit="1" customWidth="1"/>
    <col min="9730" max="9730" width="13.7109375" style="640" bestFit="1" customWidth="1"/>
    <col min="9731" max="9731" width="18.42578125" style="640" bestFit="1" customWidth="1"/>
    <col min="9732" max="9742" width="13.7109375" style="640" bestFit="1" customWidth="1"/>
    <col min="9743" max="9984" width="11.42578125" style="640"/>
    <col min="9985" max="9985" width="15.28515625" style="640" bestFit="1" customWidth="1"/>
    <col min="9986" max="9986" width="13.7109375" style="640" bestFit="1" customWidth="1"/>
    <col min="9987" max="9987" width="18.42578125" style="640" bestFit="1" customWidth="1"/>
    <col min="9988" max="9998" width="13.7109375" style="640" bestFit="1" customWidth="1"/>
    <col min="9999" max="10240" width="11.42578125" style="640"/>
    <col min="10241" max="10241" width="15.28515625" style="640" bestFit="1" customWidth="1"/>
    <col min="10242" max="10242" width="13.7109375" style="640" bestFit="1" customWidth="1"/>
    <col min="10243" max="10243" width="18.42578125" style="640" bestFit="1" customWidth="1"/>
    <col min="10244" max="10254" width="13.7109375" style="640" bestFit="1" customWidth="1"/>
    <col min="10255" max="10496" width="11.42578125" style="640"/>
    <col min="10497" max="10497" width="15.28515625" style="640" bestFit="1" customWidth="1"/>
    <col min="10498" max="10498" width="13.7109375" style="640" bestFit="1" customWidth="1"/>
    <col min="10499" max="10499" width="18.42578125" style="640" bestFit="1" customWidth="1"/>
    <col min="10500" max="10510" width="13.7109375" style="640" bestFit="1" customWidth="1"/>
    <col min="10511" max="10752" width="11.42578125" style="640"/>
    <col min="10753" max="10753" width="15.28515625" style="640" bestFit="1" customWidth="1"/>
    <col min="10754" max="10754" width="13.7109375" style="640" bestFit="1" customWidth="1"/>
    <col min="10755" max="10755" width="18.42578125" style="640" bestFit="1" customWidth="1"/>
    <col min="10756" max="10766" width="13.7109375" style="640" bestFit="1" customWidth="1"/>
    <col min="10767" max="11008" width="11.42578125" style="640"/>
    <col min="11009" max="11009" width="15.28515625" style="640" bestFit="1" customWidth="1"/>
    <col min="11010" max="11010" width="13.7109375" style="640" bestFit="1" customWidth="1"/>
    <col min="11011" max="11011" width="18.42578125" style="640" bestFit="1" customWidth="1"/>
    <col min="11012" max="11022" width="13.7109375" style="640" bestFit="1" customWidth="1"/>
    <col min="11023" max="11264" width="11.42578125" style="640"/>
    <col min="11265" max="11265" width="15.28515625" style="640" bestFit="1" customWidth="1"/>
    <col min="11266" max="11266" width="13.7109375" style="640" bestFit="1" customWidth="1"/>
    <col min="11267" max="11267" width="18.42578125" style="640" bestFit="1" customWidth="1"/>
    <col min="11268" max="11278" width="13.7109375" style="640" bestFit="1" customWidth="1"/>
    <col min="11279" max="11520" width="11.42578125" style="640"/>
    <col min="11521" max="11521" width="15.28515625" style="640" bestFit="1" customWidth="1"/>
    <col min="11522" max="11522" width="13.7109375" style="640" bestFit="1" customWidth="1"/>
    <col min="11523" max="11523" width="18.42578125" style="640" bestFit="1" customWidth="1"/>
    <col min="11524" max="11534" width="13.7109375" style="640" bestFit="1" customWidth="1"/>
    <col min="11535" max="11776" width="11.42578125" style="640"/>
    <col min="11777" max="11777" width="15.28515625" style="640" bestFit="1" customWidth="1"/>
    <col min="11778" max="11778" width="13.7109375" style="640" bestFit="1" customWidth="1"/>
    <col min="11779" max="11779" width="18.42578125" style="640" bestFit="1" customWidth="1"/>
    <col min="11780" max="11790" width="13.7109375" style="640" bestFit="1" customWidth="1"/>
    <col min="11791" max="12032" width="11.42578125" style="640"/>
    <col min="12033" max="12033" width="15.28515625" style="640" bestFit="1" customWidth="1"/>
    <col min="12034" max="12034" width="13.7109375" style="640" bestFit="1" customWidth="1"/>
    <col min="12035" max="12035" width="18.42578125" style="640" bestFit="1" customWidth="1"/>
    <col min="12036" max="12046" width="13.7109375" style="640" bestFit="1" customWidth="1"/>
    <col min="12047" max="12288" width="11.42578125" style="640"/>
    <col min="12289" max="12289" width="15.28515625" style="640" bestFit="1" customWidth="1"/>
    <col min="12290" max="12290" width="13.7109375" style="640" bestFit="1" customWidth="1"/>
    <col min="12291" max="12291" width="18.42578125" style="640" bestFit="1" customWidth="1"/>
    <col min="12292" max="12302" width="13.7109375" style="640" bestFit="1" customWidth="1"/>
    <col min="12303" max="12544" width="11.42578125" style="640"/>
    <col min="12545" max="12545" width="15.28515625" style="640" bestFit="1" customWidth="1"/>
    <col min="12546" max="12546" width="13.7109375" style="640" bestFit="1" customWidth="1"/>
    <col min="12547" max="12547" width="18.42578125" style="640" bestFit="1" customWidth="1"/>
    <col min="12548" max="12558" width="13.7109375" style="640" bestFit="1" customWidth="1"/>
    <col min="12559" max="12800" width="11.42578125" style="640"/>
    <col min="12801" max="12801" width="15.28515625" style="640" bestFit="1" customWidth="1"/>
    <col min="12802" max="12802" width="13.7109375" style="640" bestFit="1" customWidth="1"/>
    <col min="12803" max="12803" width="18.42578125" style="640" bestFit="1" customWidth="1"/>
    <col min="12804" max="12814" width="13.7109375" style="640" bestFit="1" customWidth="1"/>
    <col min="12815" max="13056" width="11.42578125" style="640"/>
    <col min="13057" max="13057" width="15.28515625" style="640" bestFit="1" customWidth="1"/>
    <col min="13058" max="13058" width="13.7109375" style="640" bestFit="1" customWidth="1"/>
    <col min="13059" max="13059" width="18.42578125" style="640" bestFit="1" customWidth="1"/>
    <col min="13060" max="13070" width="13.7109375" style="640" bestFit="1" customWidth="1"/>
    <col min="13071" max="13312" width="11.42578125" style="640"/>
    <col min="13313" max="13313" width="15.28515625" style="640" bestFit="1" customWidth="1"/>
    <col min="13314" max="13314" width="13.7109375" style="640" bestFit="1" customWidth="1"/>
    <col min="13315" max="13315" width="18.42578125" style="640" bestFit="1" customWidth="1"/>
    <col min="13316" max="13326" width="13.7109375" style="640" bestFit="1" customWidth="1"/>
    <col min="13327" max="13568" width="11.42578125" style="640"/>
    <col min="13569" max="13569" width="15.28515625" style="640" bestFit="1" customWidth="1"/>
    <col min="13570" max="13570" width="13.7109375" style="640" bestFit="1" customWidth="1"/>
    <col min="13571" max="13571" width="18.42578125" style="640" bestFit="1" customWidth="1"/>
    <col min="13572" max="13582" width="13.7109375" style="640" bestFit="1" customWidth="1"/>
    <col min="13583" max="13824" width="11.42578125" style="640"/>
    <col min="13825" max="13825" width="15.28515625" style="640" bestFit="1" customWidth="1"/>
    <col min="13826" max="13826" width="13.7109375" style="640" bestFit="1" customWidth="1"/>
    <col min="13827" max="13827" width="18.42578125" style="640" bestFit="1" customWidth="1"/>
    <col min="13828" max="13838" width="13.7109375" style="640" bestFit="1" customWidth="1"/>
    <col min="13839" max="14080" width="11.42578125" style="640"/>
    <col min="14081" max="14081" width="15.28515625" style="640" bestFit="1" customWidth="1"/>
    <col min="14082" max="14082" width="13.7109375" style="640" bestFit="1" customWidth="1"/>
    <col min="14083" max="14083" width="18.42578125" style="640" bestFit="1" customWidth="1"/>
    <col min="14084" max="14094" width="13.7109375" style="640" bestFit="1" customWidth="1"/>
    <col min="14095" max="14336" width="11.42578125" style="640"/>
    <col min="14337" max="14337" width="15.28515625" style="640" bestFit="1" customWidth="1"/>
    <col min="14338" max="14338" width="13.7109375" style="640" bestFit="1" customWidth="1"/>
    <col min="14339" max="14339" width="18.42578125" style="640" bestFit="1" customWidth="1"/>
    <col min="14340" max="14350" width="13.7109375" style="640" bestFit="1" customWidth="1"/>
    <col min="14351" max="14592" width="11.42578125" style="640"/>
    <col min="14593" max="14593" width="15.28515625" style="640" bestFit="1" customWidth="1"/>
    <col min="14594" max="14594" width="13.7109375" style="640" bestFit="1" customWidth="1"/>
    <col min="14595" max="14595" width="18.42578125" style="640" bestFit="1" customWidth="1"/>
    <col min="14596" max="14606" width="13.7109375" style="640" bestFit="1" customWidth="1"/>
    <col min="14607" max="14848" width="11.42578125" style="640"/>
    <col min="14849" max="14849" width="15.28515625" style="640" bestFit="1" customWidth="1"/>
    <col min="14850" max="14850" width="13.7109375" style="640" bestFit="1" customWidth="1"/>
    <col min="14851" max="14851" width="18.42578125" style="640" bestFit="1" customWidth="1"/>
    <col min="14852" max="14862" width="13.7109375" style="640" bestFit="1" customWidth="1"/>
    <col min="14863" max="15104" width="11.42578125" style="640"/>
    <col min="15105" max="15105" width="15.28515625" style="640" bestFit="1" customWidth="1"/>
    <col min="15106" max="15106" width="13.7109375" style="640" bestFit="1" customWidth="1"/>
    <col min="15107" max="15107" width="18.42578125" style="640" bestFit="1" customWidth="1"/>
    <col min="15108" max="15118" width="13.7109375" style="640" bestFit="1" customWidth="1"/>
    <col min="15119" max="15360" width="11.42578125" style="640"/>
    <col min="15361" max="15361" width="15.28515625" style="640" bestFit="1" customWidth="1"/>
    <col min="15362" max="15362" width="13.7109375" style="640" bestFit="1" customWidth="1"/>
    <col min="15363" max="15363" width="18.42578125" style="640" bestFit="1" customWidth="1"/>
    <col min="15364" max="15374" width="13.7109375" style="640" bestFit="1" customWidth="1"/>
    <col min="15375" max="15616" width="11.42578125" style="640"/>
    <col min="15617" max="15617" width="15.28515625" style="640" bestFit="1" customWidth="1"/>
    <col min="15618" max="15618" width="13.7109375" style="640" bestFit="1" customWidth="1"/>
    <col min="15619" max="15619" width="18.42578125" style="640" bestFit="1" customWidth="1"/>
    <col min="15620" max="15630" width="13.7109375" style="640" bestFit="1" customWidth="1"/>
    <col min="15631" max="15872" width="11.42578125" style="640"/>
    <col min="15873" max="15873" width="15.28515625" style="640" bestFit="1" customWidth="1"/>
    <col min="15874" max="15874" width="13.7109375" style="640" bestFit="1" customWidth="1"/>
    <col min="15875" max="15875" width="18.42578125" style="640" bestFit="1" customWidth="1"/>
    <col min="15876" max="15886" width="13.7109375" style="640" bestFit="1" customWidth="1"/>
    <col min="15887" max="16128" width="11.42578125" style="640"/>
    <col min="16129" max="16129" width="15.28515625" style="640" bestFit="1" customWidth="1"/>
    <col min="16130" max="16130" width="13.7109375" style="640" bestFit="1" customWidth="1"/>
    <col min="16131" max="16131" width="18.42578125" style="640" bestFit="1" customWidth="1"/>
    <col min="16132" max="16142" width="13.7109375" style="640" bestFit="1" customWidth="1"/>
    <col min="16143" max="16384" width="11.42578125" style="640"/>
  </cols>
  <sheetData>
    <row r="1" spans="1:15" ht="15.75" x14ac:dyDescent="0.25">
      <c r="A1" s="1235" t="s">
        <v>277</v>
      </c>
      <c r="B1" s="1235"/>
      <c r="C1" s="1235"/>
      <c r="D1" s="1235"/>
      <c r="E1" s="1235"/>
      <c r="F1" s="1235"/>
      <c r="G1" s="1235"/>
      <c r="H1" s="1235"/>
      <c r="I1" s="1235"/>
      <c r="J1" s="1235"/>
      <c r="K1" s="1235"/>
      <c r="L1" s="1235"/>
      <c r="M1" s="1235"/>
    </row>
    <row r="2" spans="1:15" x14ac:dyDescent="0.2">
      <c r="A2" s="1236" t="s">
        <v>278</v>
      </c>
      <c r="B2" s="1236"/>
      <c r="C2" s="1236"/>
      <c r="D2" s="1236"/>
      <c r="E2" s="1236"/>
      <c r="F2" s="1236"/>
      <c r="G2" s="1236"/>
      <c r="H2" s="1236"/>
      <c r="I2" s="1236"/>
      <c r="J2" s="1236"/>
      <c r="K2" s="1236"/>
      <c r="L2" s="1236"/>
      <c r="M2" s="1236"/>
      <c r="N2" s="732"/>
      <c r="O2" s="732"/>
    </row>
    <row r="3" spans="1:15" x14ac:dyDescent="0.2">
      <c r="A3" s="1236" t="s">
        <v>279</v>
      </c>
      <c r="B3" s="1236"/>
      <c r="C3" s="1236"/>
      <c r="D3" s="1236"/>
      <c r="E3" s="1236"/>
      <c r="F3" s="1236"/>
      <c r="G3" s="1236"/>
      <c r="H3" s="1236"/>
      <c r="I3" s="1236"/>
      <c r="J3" s="1236"/>
      <c r="K3" s="1236"/>
      <c r="L3" s="1236"/>
      <c r="M3" s="1236"/>
      <c r="N3" s="732"/>
      <c r="O3" s="732"/>
    </row>
    <row r="4" spans="1:15" x14ac:dyDescent="0.2">
      <c r="A4" s="1255" t="s">
        <v>390</v>
      </c>
      <c r="B4" s="1255"/>
      <c r="C4" s="1255"/>
      <c r="D4" s="1255"/>
      <c r="E4" s="1255"/>
      <c r="F4" s="1255"/>
      <c r="G4" s="1255"/>
      <c r="H4" s="1255"/>
      <c r="I4" s="1255"/>
      <c r="J4" s="1255"/>
      <c r="K4" s="1255"/>
      <c r="L4" s="1255"/>
      <c r="M4" s="1255"/>
      <c r="N4" s="905"/>
    </row>
    <row r="5" spans="1:15" x14ac:dyDescent="0.2">
      <c r="A5" s="1266" t="s">
        <v>467</v>
      </c>
      <c r="B5" s="1266"/>
      <c r="C5" s="1266"/>
      <c r="D5" s="1266"/>
      <c r="E5" s="1266"/>
      <c r="F5" s="1266"/>
      <c r="G5" s="1266"/>
      <c r="H5" s="1266"/>
      <c r="I5" s="1266"/>
      <c r="J5" s="1266"/>
      <c r="K5" s="1266"/>
      <c r="L5" s="1266"/>
      <c r="M5" s="1266"/>
      <c r="N5" s="906"/>
    </row>
    <row r="6" spans="1:15" x14ac:dyDescent="0.2">
      <c r="A6" s="733"/>
      <c r="B6" s="902"/>
      <c r="C6" s="902"/>
      <c r="D6" s="902"/>
      <c r="E6" s="902"/>
      <c r="F6" s="902"/>
      <c r="G6" s="902"/>
      <c r="H6" s="902"/>
      <c r="I6" s="902"/>
      <c r="J6" s="902"/>
      <c r="K6" s="902"/>
      <c r="L6" s="902"/>
      <c r="M6" s="902"/>
      <c r="N6" s="905"/>
    </row>
    <row r="7" spans="1:15" x14ac:dyDescent="0.2">
      <c r="A7" s="733">
        <f>SUM(B7:M7)</f>
        <v>99.999999999999986</v>
      </c>
      <c r="B7" s="902">
        <f>B10/$A$10*100</f>
        <v>7.8543152474852249</v>
      </c>
      <c r="C7" s="902">
        <f t="shared" ref="C7:M7" si="0">C10/$A$10*100</f>
        <v>11.334335238061243</v>
      </c>
      <c r="D7" s="902">
        <f t="shared" si="0"/>
        <v>7.4007695694019615</v>
      </c>
      <c r="E7" s="902">
        <f t="shared" si="0"/>
        <v>10.990514599382136</v>
      </c>
      <c r="F7" s="902">
        <f t="shared" si="0"/>
        <v>7.4336367750058239</v>
      </c>
      <c r="G7" s="902">
        <f t="shared" si="0"/>
        <v>7.50866047933145</v>
      </c>
      <c r="H7" s="902">
        <f t="shared" si="0"/>
        <v>8.0457107282369762</v>
      </c>
      <c r="I7" s="902">
        <f t="shared" si="0"/>
        <v>8.3267749367881549</v>
      </c>
      <c r="J7" s="902">
        <f t="shared" si="0"/>
        <v>7.9104532089413402</v>
      </c>
      <c r="K7" s="902">
        <f t="shared" si="0"/>
        <v>7.9934350035405481</v>
      </c>
      <c r="L7" s="902">
        <f t="shared" si="0"/>
        <v>7.5504580136813395</v>
      </c>
      <c r="M7" s="902">
        <f t="shared" si="0"/>
        <v>7.6509362001438026</v>
      </c>
      <c r="N7" s="905"/>
    </row>
    <row r="8" spans="1:15" ht="13.5" thickBot="1" x14ac:dyDescent="0.25">
      <c r="A8" s="1259"/>
      <c r="B8" s="1259"/>
      <c r="C8" s="1259"/>
      <c r="D8" s="1259"/>
      <c r="E8" s="1259"/>
      <c r="F8" s="1259"/>
      <c r="G8" s="1259"/>
      <c r="H8" s="1259"/>
      <c r="I8" s="1259"/>
      <c r="J8" s="1259"/>
      <c r="K8" s="1259"/>
      <c r="L8" s="1259"/>
      <c r="M8" s="1259"/>
      <c r="N8" s="905"/>
    </row>
    <row r="9" spans="1:15" ht="13.5" thickBot="1" x14ac:dyDescent="0.25">
      <c r="A9" s="735" t="s">
        <v>391</v>
      </c>
      <c r="B9" s="735" t="s">
        <v>1</v>
      </c>
      <c r="C9" s="735" t="s">
        <v>2</v>
      </c>
      <c r="D9" s="735" t="s">
        <v>3</v>
      </c>
      <c r="E9" s="735" t="s">
        <v>4</v>
      </c>
      <c r="F9" s="735" t="s">
        <v>5</v>
      </c>
      <c r="G9" s="735" t="s">
        <v>6</v>
      </c>
      <c r="H9" s="735" t="s">
        <v>7</v>
      </c>
      <c r="I9" s="735" t="s">
        <v>8</v>
      </c>
      <c r="J9" s="735" t="s">
        <v>9</v>
      </c>
      <c r="K9" s="735" t="s">
        <v>10</v>
      </c>
      <c r="L9" s="735" t="s">
        <v>11</v>
      </c>
      <c r="M9" s="735" t="s">
        <v>12</v>
      </c>
      <c r="N9" s="902"/>
    </row>
    <row r="10" spans="1:15" ht="13.5" thickBot="1" x14ac:dyDescent="0.25">
      <c r="A10" s="737">
        <f>B10+C10+D10+E10+F10+G10+H10+I10+J10+K10+L10+M10</f>
        <v>6639934731</v>
      </c>
      <c r="B10" s="907">
        <v>521521406</v>
      </c>
      <c r="C10" s="907">
        <v>752592462</v>
      </c>
      <c r="D10" s="907">
        <v>491406269</v>
      </c>
      <c r="E10" s="907">
        <v>729762996</v>
      </c>
      <c r="F10" s="907">
        <v>493588630</v>
      </c>
      <c r="G10" s="907">
        <v>498570155</v>
      </c>
      <c r="H10" s="907">
        <v>534229941</v>
      </c>
      <c r="I10" s="907">
        <v>552892421</v>
      </c>
      <c r="J10" s="907">
        <v>525248930</v>
      </c>
      <c r="K10" s="907">
        <v>530758867</v>
      </c>
      <c r="L10" s="907">
        <v>501345484</v>
      </c>
      <c r="M10" s="908">
        <v>508017170</v>
      </c>
      <c r="N10" s="909">
        <f>SUM(B10:M10)</f>
        <v>6639934731</v>
      </c>
    </row>
    <row r="11" spans="1:15" ht="13.5" thickBot="1" x14ac:dyDescent="0.25">
      <c r="A11" s="743">
        <v>0.22500000000000001</v>
      </c>
      <c r="B11" s="769">
        <v>0.22500000000000001</v>
      </c>
      <c r="C11" s="910">
        <v>0.22500000000000001</v>
      </c>
      <c r="D11" s="910">
        <v>0.22500000000000001</v>
      </c>
      <c r="E11" s="910">
        <v>0.22500000000000001</v>
      </c>
      <c r="F11" s="910">
        <v>0.22500000000000001</v>
      </c>
      <c r="G11" s="910">
        <v>0.22500000000000001</v>
      </c>
      <c r="H11" s="910">
        <v>0.22500000000000001</v>
      </c>
      <c r="I11" s="910">
        <v>0.22500000000000001</v>
      </c>
      <c r="J11" s="910">
        <v>0.22500000000000001</v>
      </c>
      <c r="K11" s="910">
        <v>0.22500000000000001</v>
      </c>
      <c r="L11" s="910">
        <v>0.22500000000000001</v>
      </c>
      <c r="M11" s="910">
        <v>0.22500000000000001</v>
      </c>
      <c r="N11" s="756"/>
    </row>
    <row r="12" spans="1:15" ht="13.5" thickBot="1" x14ac:dyDescent="0.25">
      <c r="A12" s="737">
        <f>A10*A11</f>
        <v>1493985314.4750001</v>
      </c>
      <c r="B12" s="737">
        <f>B10*B11</f>
        <v>117342316.35000001</v>
      </c>
      <c r="C12" s="737">
        <f>C10*C11</f>
        <v>169333303.95000002</v>
      </c>
      <c r="D12" s="737">
        <f>D10*D11</f>
        <v>110566410.52500001</v>
      </c>
      <c r="E12" s="737">
        <f t="shared" ref="E12:J12" si="1">E10*E11</f>
        <v>164196674.09999999</v>
      </c>
      <c r="F12" s="737">
        <f t="shared" si="1"/>
        <v>111057441.75</v>
      </c>
      <c r="G12" s="737">
        <f t="shared" si="1"/>
        <v>112178284.875</v>
      </c>
      <c r="H12" s="737">
        <f t="shared" si="1"/>
        <v>120201736.72500001</v>
      </c>
      <c r="I12" s="737">
        <f t="shared" si="1"/>
        <v>124400794.72500001</v>
      </c>
      <c r="J12" s="737">
        <f t="shared" si="1"/>
        <v>118181009.25</v>
      </c>
      <c r="K12" s="737">
        <f>K10*K11</f>
        <v>119420745.075</v>
      </c>
      <c r="L12" s="737">
        <f>L10*L11</f>
        <v>112802733.90000001</v>
      </c>
      <c r="M12" s="737">
        <f>M10*M11</f>
        <v>114303863.25</v>
      </c>
      <c r="N12" s="909">
        <f t="shared" ref="N12" si="2">SUM(B12:M12)</f>
        <v>1493985314.4750001</v>
      </c>
    </row>
    <row r="13" spans="1:15" ht="13.5" thickBot="1" x14ac:dyDescent="0.25">
      <c r="A13" s="749" t="s">
        <v>500</v>
      </c>
    </row>
    <row r="14" spans="1:15" x14ac:dyDescent="0.2">
      <c r="A14" s="1255" t="s">
        <v>390</v>
      </c>
      <c r="B14" s="1255"/>
      <c r="C14" s="1255"/>
      <c r="D14" s="1255"/>
      <c r="E14" s="1255"/>
      <c r="F14" s="1255"/>
      <c r="G14" s="1255"/>
      <c r="H14" s="1255"/>
      <c r="I14" s="1255"/>
      <c r="J14" s="1255"/>
      <c r="K14" s="1255"/>
      <c r="L14" s="1255"/>
      <c r="M14" s="1255"/>
      <c r="N14" s="905"/>
    </row>
    <row r="15" spans="1:15" x14ac:dyDescent="0.2">
      <c r="A15" s="1266" t="s">
        <v>468</v>
      </c>
      <c r="B15" s="1266"/>
      <c r="C15" s="1266"/>
      <c r="D15" s="1266"/>
      <c r="E15" s="1266"/>
      <c r="F15" s="1266"/>
      <c r="G15" s="1266"/>
      <c r="H15" s="1266"/>
      <c r="I15" s="1266"/>
      <c r="J15" s="1266"/>
      <c r="K15" s="1266"/>
      <c r="L15" s="1266"/>
      <c r="M15" s="1266"/>
      <c r="N15" s="906"/>
    </row>
    <row r="16" spans="1:15" x14ac:dyDescent="0.2">
      <c r="A16" s="733"/>
      <c r="B16" s="902"/>
      <c r="C16" s="902"/>
      <c r="D16" s="902"/>
      <c r="E16" s="902"/>
      <c r="F16" s="902"/>
      <c r="G16" s="902"/>
      <c r="H16" s="902"/>
      <c r="I16" s="902"/>
      <c r="J16" s="902"/>
      <c r="K16" s="902"/>
      <c r="L16" s="902"/>
      <c r="M16" s="902"/>
      <c r="N16" s="905"/>
    </row>
    <row r="17" spans="1:14" ht="13.5" thickBot="1" x14ac:dyDescent="0.25">
      <c r="A17" s="751">
        <f>SUM(B17:M17)</f>
        <v>100.00000000000001</v>
      </c>
      <c r="B17" s="751">
        <f>B19/$A$19*100</f>
        <v>7.8535926840847896</v>
      </c>
      <c r="C17" s="751">
        <f t="shared" ref="C17:M17" si="3">C19/$A$19*100</f>
        <v>11.340876060055379</v>
      </c>
      <c r="D17" s="751">
        <f t="shared" si="3"/>
        <v>7.3991003684129026</v>
      </c>
      <c r="E17" s="751">
        <f t="shared" si="3"/>
        <v>10.996337745446876</v>
      </c>
      <c r="F17" s="751">
        <f t="shared" si="3"/>
        <v>7.4320361659228169</v>
      </c>
      <c r="G17" s="751">
        <f t="shared" si="3"/>
        <v>7.5072163708866215</v>
      </c>
      <c r="H17" s="751">
        <f t="shared" si="3"/>
        <v>8.0448320880497501</v>
      </c>
      <c r="I17" s="751">
        <f t="shared" si="3"/>
        <v>8.3264828723431599</v>
      </c>
      <c r="J17" s="751">
        <f t="shared" si="3"/>
        <v>7.9092922127447176</v>
      </c>
      <c r="K17" s="751">
        <f t="shared" si="3"/>
        <v>7.992454023548837</v>
      </c>
      <c r="L17" s="751">
        <f t="shared" si="3"/>
        <v>7.5485457329455343</v>
      </c>
      <c r="M17" s="751">
        <f t="shared" si="3"/>
        <v>7.6492336755586168</v>
      </c>
      <c r="N17" s="905"/>
    </row>
    <row r="18" spans="1:14" ht="13.5" thickBot="1" x14ac:dyDescent="0.25">
      <c r="A18" s="735" t="s">
        <v>391</v>
      </c>
      <c r="B18" s="735" t="s">
        <v>1</v>
      </c>
      <c r="C18" s="735" t="s">
        <v>2</v>
      </c>
      <c r="D18" s="735" t="s">
        <v>3</v>
      </c>
      <c r="E18" s="735" t="s">
        <v>4</v>
      </c>
      <c r="F18" s="735" t="s">
        <v>5</v>
      </c>
      <c r="G18" s="735" t="s">
        <v>6</v>
      </c>
      <c r="H18" s="735" t="s">
        <v>7</v>
      </c>
      <c r="I18" s="735" t="s">
        <v>8</v>
      </c>
      <c r="J18" s="735" t="s">
        <v>9</v>
      </c>
      <c r="K18" s="735" t="s">
        <v>10</v>
      </c>
      <c r="L18" s="735" t="s">
        <v>11</v>
      </c>
      <c r="M18" s="735" t="s">
        <v>12</v>
      </c>
    </row>
    <row r="19" spans="1:14" ht="13.5" thickBot="1" x14ac:dyDescent="0.25">
      <c r="A19" s="737">
        <f>B19+C19+D19+E19+F19+G19+H19+I19+J19+K19+L19+M19</f>
        <v>531121191</v>
      </c>
      <c r="B19" s="907">
        <v>41712095</v>
      </c>
      <c r="C19" s="907">
        <v>60233796</v>
      </c>
      <c r="D19" s="907">
        <v>39298190</v>
      </c>
      <c r="E19" s="907">
        <v>58403880</v>
      </c>
      <c r="F19" s="907">
        <v>39473119</v>
      </c>
      <c r="G19" s="907">
        <v>39872417</v>
      </c>
      <c r="H19" s="907">
        <v>42727808</v>
      </c>
      <c r="I19" s="907">
        <v>44223715</v>
      </c>
      <c r="J19" s="907">
        <v>42007927</v>
      </c>
      <c r="K19" s="907">
        <v>42449617</v>
      </c>
      <c r="L19" s="907">
        <v>40091926</v>
      </c>
      <c r="M19" s="908">
        <v>40626701</v>
      </c>
      <c r="N19" s="909">
        <f>SUM(B19:M19)</f>
        <v>531121191</v>
      </c>
    </row>
    <row r="20" spans="1:14" x14ac:dyDescent="0.2">
      <c r="A20" s="688">
        <v>0.7</v>
      </c>
      <c r="B20" s="757">
        <f t="shared" ref="B20:M20" si="4">B19*$A$20</f>
        <v>29198466.5</v>
      </c>
      <c r="C20" s="757">
        <f t="shared" si="4"/>
        <v>42163657.199999996</v>
      </c>
      <c r="D20" s="757">
        <f t="shared" si="4"/>
        <v>27508733</v>
      </c>
      <c r="E20" s="757">
        <f t="shared" si="4"/>
        <v>40882716</v>
      </c>
      <c r="F20" s="757">
        <f t="shared" si="4"/>
        <v>27631183.299999997</v>
      </c>
      <c r="G20" s="757">
        <f t="shared" si="4"/>
        <v>27910691.899999999</v>
      </c>
      <c r="H20" s="757">
        <f t="shared" si="4"/>
        <v>29909465.599999998</v>
      </c>
      <c r="I20" s="757">
        <f t="shared" si="4"/>
        <v>30956600.499999996</v>
      </c>
      <c r="J20" s="757">
        <f t="shared" si="4"/>
        <v>29405548.899999999</v>
      </c>
      <c r="K20" s="757">
        <f t="shared" si="4"/>
        <v>29714731.899999999</v>
      </c>
      <c r="L20" s="757">
        <f t="shared" si="4"/>
        <v>28064348.199999999</v>
      </c>
      <c r="M20" s="757">
        <f t="shared" si="4"/>
        <v>28438690.699999999</v>
      </c>
      <c r="N20" s="649">
        <f>SUM(B20:M20)</f>
        <v>371784833.69999993</v>
      </c>
    </row>
    <row r="21" spans="1:14" ht="13.5" thickBot="1" x14ac:dyDescent="0.25">
      <c r="A21" s="755">
        <v>0.3</v>
      </c>
      <c r="B21" s="757">
        <f t="shared" ref="B21:M21" si="5">B19*$A$21</f>
        <v>12513628.5</v>
      </c>
      <c r="C21" s="757">
        <f t="shared" si="5"/>
        <v>18070138.800000001</v>
      </c>
      <c r="D21" s="757">
        <f t="shared" si="5"/>
        <v>11789457</v>
      </c>
      <c r="E21" s="757">
        <f t="shared" si="5"/>
        <v>17521164</v>
      </c>
      <c r="F21" s="757">
        <f t="shared" si="5"/>
        <v>11841935.699999999</v>
      </c>
      <c r="G21" s="757">
        <f t="shared" si="5"/>
        <v>11961725.1</v>
      </c>
      <c r="H21" s="757">
        <f t="shared" si="5"/>
        <v>12818342.4</v>
      </c>
      <c r="I21" s="757">
        <f t="shared" si="5"/>
        <v>13267114.5</v>
      </c>
      <c r="J21" s="757">
        <f t="shared" si="5"/>
        <v>12602378.1</v>
      </c>
      <c r="K21" s="757">
        <f t="shared" si="5"/>
        <v>12734885.1</v>
      </c>
      <c r="L21" s="757">
        <f t="shared" si="5"/>
        <v>12027577.799999999</v>
      </c>
      <c r="M21" s="757">
        <f t="shared" si="5"/>
        <v>12188010.299999999</v>
      </c>
      <c r="N21" s="649">
        <f>SUM(B21:M21)</f>
        <v>159336357.30000001</v>
      </c>
    </row>
    <row r="22" spans="1:14" ht="13.5" thickBot="1" x14ac:dyDescent="0.25">
      <c r="A22" s="749" t="s">
        <v>500</v>
      </c>
      <c r="B22" s="757"/>
      <c r="C22" s="757"/>
      <c r="D22" s="757"/>
      <c r="E22" s="757"/>
      <c r="F22" s="757"/>
      <c r="G22" s="757"/>
      <c r="H22" s="757"/>
      <c r="I22" s="757"/>
      <c r="J22" s="757"/>
      <c r="K22" s="757"/>
      <c r="L22" s="757"/>
      <c r="M22" s="757"/>
      <c r="N22" s="649">
        <f>SUM(N20:N21)</f>
        <v>531121190.99999994</v>
      </c>
    </row>
    <row r="23" spans="1:14" x14ac:dyDescent="0.2">
      <c r="A23" s="757"/>
      <c r="B23" s="757"/>
      <c r="C23" s="757"/>
      <c r="D23" s="757"/>
      <c r="E23" s="757"/>
      <c r="F23" s="757"/>
      <c r="G23" s="757"/>
      <c r="H23" s="757"/>
      <c r="I23" s="757"/>
      <c r="J23" s="757"/>
      <c r="K23" s="757"/>
      <c r="L23" s="757"/>
      <c r="M23" s="757"/>
    </row>
    <row r="24" spans="1:14" x14ac:dyDescent="0.2">
      <c r="A24" s="757"/>
      <c r="B24" s="757"/>
      <c r="C24" s="757"/>
      <c r="D24" s="757"/>
      <c r="E24" s="757"/>
      <c r="F24" s="757"/>
      <c r="G24" s="757"/>
      <c r="H24" s="757"/>
      <c r="I24" s="757"/>
      <c r="J24" s="757"/>
      <c r="K24" s="757"/>
      <c r="L24" s="757"/>
      <c r="M24" s="757"/>
    </row>
    <row r="25" spans="1:14" x14ac:dyDescent="0.2">
      <c r="A25" s="757"/>
      <c r="B25" s="757"/>
      <c r="C25" s="757"/>
      <c r="D25" s="757"/>
      <c r="E25" s="757"/>
      <c r="F25" s="757"/>
      <c r="G25" s="757"/>
      <c r="H25" s="757"/>
      <c r="I25" s="757"/>
      <c r="J25" s="757"/>
      <c r="K25" s="757"/>
      <c r="L25" s="757"/>
      <c r="M25" s="757"/>
    </row>
    <row r="26" spans="1:14" x14ac:dyDescent="0.2">
      <c r="A26" s="1255" t="s">
        <v>390</v>
      </c>
      <c r="B26" s="1255"/>
      <c r="C26" s="1255"/>
      <c r="D26" s="1255"/>
      <c r="E26" s="1255"/>
      <c r="F26" s="1255"/>
      <c r="G26" s="1255"/>
      <c r="H26" s="1255"/>
      <c r="I26" s="1255"/>
      <c r="J26" s="1255"/>
      <c r="K26" s="1255"/>
      <c r="L26" s="1255"/>
      <c r="M26" s="1255"/>
    </row>
    <row r="27" spans="1:14" x14ac:dyDescent="0.2">
      <c r="A27" s="1266" t="s">
        <v>469</v>
      </c>
      <c r="B27" s="1266"/>
      <c r="C27" s="1266"/>
      <c r="D27" s="1266"/>
      <c r="E27" s="1266"/>
      <c r="F27" s="1266"/>
      <c r="G27" s="1266"/>
      <c r="H27" s="1266"/>
      <c r="I27" s="1266"/>
      <c r="J27" s="1266"/>
      <c r="K27" s="1266"/>
      <c r="L27" s="1266"/>
      <c r="M27" s="1266"/>
      <c r="N27" s="911"/>
    </row>
    <row r="28" spans="1:14" x14ac:dyDescent="0.2">
      <c r="A28" s="733"/>
      <c r="B28" s="902"/>
      <c r="C28" s="902"/>
      <c r="D28" s="902"/>
      <c r="E28" s="902"/>
      <c r="F28" s="902"/>
      <c r="G28" s="902"/>
      <c r="H28" s="902"/>
      <c r="I28" s="902"/>
      <c r="J28" s="902"/>
      <c r="K28" s="902"/>
      <c r="L28" s="902"/>
      <c r="M28" s="902"/>
    </row>
    <row r="29" spans="1:14" ht="13.5" thickBot="1" x14ac:dyDescent="0.25">
      <c r="A29" s="751">
        <f>SUM(B29:M29)</f>
        <v>100</v>
      </c>
      <c r="B29" s="751">
        <f>B31/$A$31*100</f>
        <v>7.1299448938837866</v>
      </c>
      <c r="C29" s="751">
        <f t="shared" ref="C29:M29" si="6">C31/$A$31*100</f>
        <v>15.506146186305767</v>
      </c>
      <c r="D29" s="751">
        <f t="shared" si="6"/>
        <v>6.9389731645253683</v>
      </c>
      <c r="E29" s="751">
        <f t="shared" si="6"/>
        <v>6.4309180101726566</v>
      </c>
      <c r="F29" s="751">
        <f t="shared" si="6"/>
        <v>7.263431424178723</v>
      </c>
      <c r="G29" s="751">
        <f t="shared" si="6"/>
        <v>7.6798222463299819</v>
      </c>
      <c r="H29" s="751">
        <f t="shared" si="6"/>
        <v>8.0543429186029165</v>
      </c>
      <c r="I29" s="751">
        <f t="shared" si="6"/>
        <v>8.6556395693303347</v>
      </c>
      <c r="J29" s="751">
        <f t="shared" si="6"/>
        <v>8.9077423318933491</v>
      </c>
      <c r="K29" s="751">
        <f t="shared" si="6"/>
        <v>8.1300040918606662</v>
      </c>
      <c r="L29" s="751">
        <f t="shared" si="6"/>
        <v>7.6047619688760104</v>
      </c>
      <c r="M29" s="751">
        <f t="shared" si="6"/>
        <v>7.6982731940404419</v>
      </c>
    </row>
    <row r="30" spans="1:14" ht="13.5" thickBot="1" x14ac:dyDescent="0.25">
      <c r="A30" s="735" t="s">
        <v>391</v>
      </c>
      <c r="B30" s="735" t="s">
        <v>1</v>
      </c>
      <c r="C30" s="735" t="s">
        <v>2</v>
      </c>
      <c r="D30" s="735" t="s">
        <v>3</v>
      </c>
      <c r="E30" s="735" t="s">
        <v>4</v>
      </c>
      <c r="F30" s="735" t="s">
        <v>5</v>
      </c>
      <c r="G30" s="735" t="s">
        <v>6</v>
      </c>
      <c r="H30" s="735" t="s">
        <v>7</v>
      </c>
      <c r="I30" s="735" t="s">
        <v>8</v>
      </c>
      <c r="J30" s="735" t="s">
        <v>9</v>
      </c>
      <c r="K30" s="735" t="s">
        <v>10</v>
      </c>
      <c r="L30" s="735" t="s">
        <v>11</v>
      </c>
      <c r="M30" s="735" t="s">
        <v>12</v>
      </c>
    </row>
    <row r="31" spans="1:14" ht="13.5" thickBot="1" x14ac:dyDescent="0.25">
      <c r="A31" s="737">
        <f>B31+C31+D31+E31+F31+G31+H31+I31+J31+K31+L31+M31</f>
        <v>133467399</v>
      </c>
      <c r="B31" s="907">
        <v>9516152</v>
      </c>
      <c r="C31" s="907">
        <v>20695650</v>
      </c>
      <c r="D31" s="907">
        <v>9261267</v>
      </c>
      <c r="E31" s="907">
        <v>8583179</v>
      </c>
      <c r="F31" s="907">
        <v>9694313</v>
      </c>
      <c r="G31" s="907">
        <v>10250059</v>
      </c>
      <c r="H31" s="907">
        <v>10749922</v>
      </c>
      <c r="I31" s="907">
        <v>11552457</v>
      </c>
      <c r="J31" s="907">
        <v>11888932</v>
      </c>
      <c r="K31" s="907">
        <v>10850905</v>
      </c>
      <c r="L31" s="907">
        <v>10149878</v>
      </c>
      <c r="M31" s="908">
        <v>10274685</v>
      </c>
      <c r="N31" s="909">
        <f>SUM(B31:M31)</f>
        <v>133467399</v>
      </c>
    </row>
    <row r="32" spans="1:14" ht="13.5" thickBot="1" x14ac:dyDescent="0.25">
      <c r="A32" s="743">
        <v>0.22500000000000001</v>
      </c>
      <c r="B32" s="743">
        <v>0.22500000000000001</v>
      </c>
      <c r="C32" s="743">
        <v>0.22500000000000001</v>
      </c>
      <c r="D32" s="743">
        <v>0.22500000000000001</v>
      </c>
      <c r="E32" s="743">
        <v>0.22500000000000001</v>
      </c>
      <c r="F32" s="743">
        <v>0.22500000000000001</v>
      </c>
      <c r="G32" s="743">
        <v>0.22500000000000001</v>
      </c>
      <c r="H32" s="743">
        <v>0.22500000000000001</v>
      </c>
      <c r="I32" s="743">
        <v>0.22500000000000001</v>
      </c>
      <c r="J32" s="743">
        <v>0.22500000000000001</v>
      </c>
      <c r="K32" s="743">
        <v>0.22500000000000001</v>
      </c>
      <c r="L32" s="743">
        <v>0.22500000000000001</v>
      </c>
      <c r="M32" s="743">
        <v>0.22500000000000001</v>
      </c>
      <c r="N32" s="756"/>
    </row>
    <row r="33" spans="1:14" ht="13.5" thickBot="1" x14ac:dyDescent="0.25">
      <c r="A33" s="737">
        <f t="shared" ref="A33:M33" si="7">A31*A32</f>
        <v>30030164.775000002</v>
      </c>
      <c r="B33" s="737">
        <f t="shared" si="7"/>
        <v>2141134.2000000002</v>
      </c>
      <c r="C33" s="737">
        <f t="shared" si="7"/>
        <v>4656521.25</v>
      </c>
      <c r="D33" s="737">
        <f t="shared" si="7"/>
        <v>2083785.075</v>
      </c>
      <c r="E33" s="737">
        <f t="shared" si="7"/>
        <v>1931215.2750000001</v>
      </c>
      <c r="F33" s="737">
        <f t="shared" si="7"/>
        <v>2181220.4250000003</v>
      </c>
      <c r="G33" s="737">
        <f t="shared" si="7"/>
        <v>2306263.2749999999</v>
      </c>
      <c r="H33" s="737">
        <f t="shared" si="7"/>
        <v>2418732.4500000002</v>
      </c>
      <c r="I33" s="737">
        <f t="shared" si="7"/>
        <v>2599302.8250000002</v>
      </c>
      <c r="J33" s="737">
        <f t="shared" si="7"/>
        <v>2675009.7000000002</v>
      </c>
      <c r="K33" s="737">
        <f t="shared" si="7"/>
        <v>2441453.625</v>
      </c>
      <c r="L33" s="737">
        <f t="shared" si="7"/>
        <v>2283722.5500000003</v>
      </c>
      <c r="M33" s="912">
        <f t="shared" si="7"/>
        <v>2311804.125</v>
      </c>
      <c r="N33" s="909">
        <f t="shared" ref="N33" si="8">SUM(B33:M33)</f>
        <v>30030164.775000002</v>
      </c>
    </row>
    <row r="34" spans="1:14" ht="13.5" thickBot="1" x14ac:dyDescent="0.25">
      <c r="A34" s="749" t="s">
        <v>500</v>
      </c>
      <c r="B34" s="747"/>
      <c r="C34" s="747"/>
      <c r="D34" s="747"/>
      <c r="E34" s="747"/>
      <c r="F34" s="747"/>
      <c r="G34" s="747"/>
      <c r="H34" s="747"/>
      <c r="I34" s="747"/>
      <c r="J34" s="747"/>
      <c r="K34" s="747"/>
      <c r="L34" s="747"/>
      <c r="M34" s="747"/>
    </row>
    <row r="35" spans="1:14" x14ac:dyDescent="0.2">
      <c r="A35" s="1255" t="s">
        <v>390</v>
      </c>
      <c r="B35" s="1255"/>
      <c r="C35" s="1255"/>
      <c r="D35" s="1255"/>
      <c r="E35" s="1255"/>
      <c r="F35" s="1255"/>
      <c r="G35" s="1255"/>
      <c r="H35" s="1255"/>
      <c r="I35" s="1255"/>
      <c r="J35" s="1255"/>
      <c r="K35" s="1255"/>
      <c r="L35" s="1255"/>
      <c r="M35" s="1255"/>
    </row>
    <row r="36" spans="1:14" x14ac:dyDescent="0.2">
      <c r="A36" s="1266" t="s">
        <v>501</v>
      </c>
      <c r="B36" s="1266"/>
      <c r="C36" s="1266"/>
      <c r="D36" s="1266"/>
      <c r="E36" s="1266"/>
      <c r="F36" s="1266"/>
      <c r="G36" s="1266"/>
      <c r="H36" s="1266"/>
      <c r="I36" s="1266"/>
      <c r="J36" s="1266"/>
      <c r="K36" s="1266"/>
      <c r="L36" s="1266"/>
      <c r="M36" s="1266"/>
      <c r="N36" s="911"/>
    </row>
    <row r="37" spans="1:14" x14ac:dyDescent="0.2">
      <c r="A37" s="733"/>
      <c r="B37" s="902"/>
      <c r="C37" s="902"/>
      <c r="D37" s="902"/>
      <c r="E37" s="902"/>
      <c r="F37" s="902"/>
      <c r="G37" s="902"/>
      <c r="H37" s="902"/>
      <c r="I37" s="902"/>
      <c r="J37" s="902"/>
      <c r="K37" s="902"/>
      <c r="L37" s="902"/>
      <c r="M37" s="902"/>
    </row>
    <row r="38" spans="1:14" ht="13.5" thickBot="1" x14ac:dyDescent="0.25">
      <c r="A38" s="751">
        <f>SUM(B38:M38)</f>
        <v>100</v>
      </c>
      <c r="B38" s="751">
        <f>B40/$A$40*100</f>
        <v>7.2284028196491708</v>
      </c>
      <c r="C38" s="751">
        <f t="shared" ref="C38:M38" si="9">C40/$A$40*100</f>
        <v>8.1559788510855942</v>
      </c>
      <c r="D38" s="751">
        <f t="shared" si="9"/>
        <v>7.7479701225003765</v>
      </c>
      <c r="E38" s="751">
        <f t="shared" si="9"/>
        <v>8.6096977697997676</v>
      </c>
      <c r="F38" s="751">
        <f t="shared" si="9"/>
        <v>8.5030397371307913</v>
      </c>
      <c r="G38" s="751">
        <f t="shared" si="9"/>
        <v>8.7888151939195147</v>
      </c>
      <c r="H38" s="751">
        <f t="shared" si="9"/>
        <v>8.3692945211229457</v>
      </c>
      <c r="I38" s="751">
        <f t="shared" si="9"/>
        <v>8.7359939412118184</v>
      </c>
      <c r="J38" s="751">
        <f t="shared" si="9"/>
        <v>8.6703064444209197</v>
      </c>
      <c r="K38" s="751">
        <f t="shared" si="9"/>
        <v>8.2429979544102903</v>
      </c>
      <c r="L38" s="751">
        <f t="shared" si="9"/>
        <v>8.6259501588632084</v>
      </c>
      <c r="M38" s="751">
        <f t="shared" si="9"/>
        <v>8.3215524858856043</v>
      </c>
    </row>
    <row r="39" spans="1:14" ht="13.5" thickBot="1" x14ac:dyDescent="0.25">
      <c r="A39" s="735" t="s">
        <v>391</v>
      </c>
      <c r="B39" s="735" t="s">
        <v>1</v>
      </c>
      <c r="C39" s="735" t="s">
        <v>2</v>
      </c>
      <c r="D39" s="735" t="s">
        <v>3</v>
      </c>
      <c r="E39" s="735" t="s">
        <v>4</v>
      </c>
      <c r="F39" s="735" t="s">
        <v>5</v>
      </c>
      <c r="G39" s="735" t="s">
        <v>6</v>
      </c>
      <c r="H39" s="735" t="s">
        <v>7</v>
      </c>
      <c r="I39" s="735" t="s">
        <v>8</v>
      </c>
      <c r="J39" s="735" t="s">
        <v>9</v>
      </c>
      <c r="K39" s="735" t="s">
        <v>10</v>
      </c>
      <c r="L39" s="735" t="s">
        <v>11</v>
      </c>
      <c r="M39" s="735" t="s">
        <v>12</v>
      </c>
    </row>
    <row r="40" spans="1:14" ht="13.5" thickBot="1" x14ac:dyDescent="0.25">
      <c r="A40" s="737">
        <f>B40+C40+D40+E40+F40+G40+H40+I40+J40+K40+L40+M40</f>
        <v>252972039</v>
      </c>
      <c r="B40" s="913">
        <v>18285838</v>
      </c>
      <c r="C40" s="913">
        <v>20632346</v>
      </c>
      <c r="D40" s="913">
        <v>19600198</v>
      </c>
      <c r="E40" s="913">
        <v>21780128</v>
      </c>
      <c r="F40" s="913">
        <v>21510313</v>
      </c>
      <c r="G40" s="913">
        <v>22233245</v>
      </c>
      <c r="H40" s="913">
        <v>21171975</v>
      </c>
      <c r="I40" s="913">
        <v>22099622</v>
      </c>
      <c r="J40" s="913">
        <v>21933451</v>
      </c>
      <c r="K40" s="913">
        <v>20852480</v>
      </c>
      <c r="L40" s="913">
        <v>21821242</v>
      </c>
      <c r="M40" s="913">
        <v>21051201</v>
      </c>
      <c r="N40" s="771">
        <f>SUM(B40:M40)</f>
        <v>252972039</v>
      </c>
    </row>
    <row r="41" spans="1:14" ht="13.5" thickBot="1" x14ac:dyDescent="0.25">
      <c r="A41" s="743">
        <v>0.22500000000000001</v>
      </c>
      <c r="B41" s="743">
        <v>0.22500000000000001</v>
      </c>
      <c r="C41" s="743">
        <v>0.22500000000000001</v>
      </c>
      <c r="D41" s="743">
        <v>0.22500000000000001</v>
      </c>
      <c r="E41" s="743">
        <v>0.22500000000000001</v>
      </c>
      <c r="F41" s="743">
        <v>0.22500000000000001</v>
      </c>
      <c r="G41" s="743">
        <v>0.22500000000000001</v>
      </c>
      <c r="H41" s="743">
        <v>0.22500000000000001</v>
      </c>
      <c r="I41" s="743">
        <v>0.22500000000000001</v>
      </c>
      <c r="J41" s="743">
        <v>0.22500000000000001</v>
      </c>
      <c r="K41" s="743">
        <v>0.22500000000000001</v>
      </c>
      <c r="L41" s="743">
        <v>0.22500000000000001</v>
      </c>
      <c r="M41" s="743">
        <v>0.22500000000000001</v>
      </c>
      <c r="N41" s="649"/>
    </row>
    <row r="42" spans="1:14" ht="13.5" thickBot="1" x14ac:dyDescent="0.25">
      <c r="A42" s="737">
        <f t="shared" ref="A42:M42" si="10">A40*A41</f>
        <v>56918708.774999999</v>
      </c>
      <c r="B42" s="737">
        <f t="shared" si="10"/>
        <v>4114313.5500000003</v>
      </c>
      <c r="C42" s="737">
        <f t="shared" si="10"/>
        <v>4642277.8500000006</v>
      </c>
      <c r="D42" s="737">
        <f t="shared" si="10"/>
        <v>4410044.55</v>
      </c>
      <c r="E42" s="737">
        <f t="shared" si="10"/>
        <v>4900528.8</v>
      </c>
      <c r="F42" s="737">
        <f t="shared" si="10"/>
        <v>4839820.4249999998</v>
      </c>
      <c r="G42" s="737">
        <f t="shared" si="10"/>
        <v>5002480.125</v>
      </c>
      <c r="H42" s="737">
        <f t="shared" si="10"/>
        <v>4763694.375</v>
      </c>
      <c r="I42" s="737">
        <f t="shared" si="10"/>
        <v>4972414.95</v>
      </c>
      <c r="J42" s="737">
        <f t="shared" si="10"/>
        <v>4935026.4750000006</v>
      </c>
      <c r="K42" s="737">
        <f t="shared" si="10"/>
        <v>4691808</v>
      </c>
      <c r="L42" s="737">
        <f t="shared" si="10"/>
        <v>4909779.45</v>
      </c>
      <c r="M42" s="737">
        <f t="shared" si="10"/>
        <v>4736520.2250000006</v>
      </c>
      <c r="N42" s="771">
        <f t="shared" ref="N42" si="11">SUM(B42:M42)</f>
        <v>56918708.775000006</v>
      </c>
    </row>
    <row r="43" spans="1:14" ht="12.75" customHeight="1" thickBot="1" x14ac:dyDescent="0.25">
      <c r="A43" s="749" t="s">
        <v>500</v>
      </c>
    </row>
    <row r="44" spans="1:14" x14ac:dyDescent="0.2">
      <c r="A44" s="1255" t="s">
        <v>390</v>
      </c>
      <c r="B44" s="1255"/>
      <c r="C44" s="1255"/>
      <c r="D44" s="1255"/>
      <c r="E44" s="1255"/>
      <c r="F44" s="1255"/>
      <c r="G44" s="1255"/>
      <c r="H44" s="1255"/>
      <c r="I44" s="1255"/>
      <c r="J44" s="1255"/>
      <c r="K44" s="1255"/>
      <c r="L44" s="1255"/>
      <c r="M44" s="1255"/>
      <c r="N44" s="905"/>
    </row>
    <row r="45" spans="1:14" x14ac:dyDescent="0.2">
      <c r="A45" s="1266" t="s">
        <v>502</v>
      </c>
      <c r="B45" s="1266"/>
      <c r="C45" s="1266"/>
      <c r="D45" s="1266"/>
      <c r="E45" s="1266"/>
      <c r="F45" s="1266"/>
      <c r="G45" s="1266"/>
      <c r="H45" s="1266"/>
      <c r="I45" s="1266"/>
      <c r="J45" s="1266"/>
      <c r="K45" s="1266"/>
      <c r="L45" s="1266"/>
      <c r="M45" s="1266"/>
      <c r="N45" s="906"/>
    </row>
    <row r="46" spans="1:14" x14ac:dyDescent="0.2">
      <c r="A46" s="733"/>
      <c r="B46" s="902"/>
      <c r="C46" s="902"/>
      <c r="D46" s="902"/>
      <c r="E46" s="902"/>
      <c r="F46" s="902"/>
      <c r="G46" s="902"/>
      <c r="H46" s="902"/>
      <c r="I46" s="902"/>
      <c r="J46" s="902"/>
      <c r="K46" s="902"/>
      <c r="L46" s="902"/>
      <c r="M46" s="902"/>
      <c r="N46" s="905"/>
    </row>
    <row r="47" spans="1:14" ht="13.5" thickBot="1" x14ac:dyDescent="0.25">
      <c r="A47" s="751">
        <f>SUM(B47:M47)</f>
        <v>100</v>
      </c>
      <c r="B47" s="751">
        <f>B49/$A$49*100</f>
        <v>10.929429492541463</v>
      </c>
      <c r="C47" s="751">
        <f t="shared" ref="C47:M47" si="12">C49/$A$49*100</f>
        <v>5.625629717336551</v>
      </c>
      <c r="D47" s="751">
        <f t="shared" si="12"/>
        <v>5.625629717336551</v>
      </c>
      <c r="E47" s="751">
        <f t="shared" si="12"/>
        <v>17.346591871583644</v>
      </c>
      <c r="F47" s="751">
        <f t="shared" si="12"/>
        <v>5.625629717336551</v>
      </c>
      <c r="G47" s="751">
        <f t="shared" si="12"/>
        <v>5.625629717336551</v>
      </c>
      <c r="H47" s="751">
        <f t="shared" si="12"/>
        <v>13.556461498680466</v>
      </c>
      <c r="I47" s="751">
        <f t="shared" si="12"/>
        <v>5.625629717336551</v>
      </c>
      <c r="J47" s="751">
        <f t="shared" si="12"/>
        <v>5.625629717336551</v>
      </c>
      <c r="K47" s="751">
        <f t="shared" si="12"/>
        <v>13.16247939850202</v>
      </c>
      <c r="L47" s="751">
        <f t="shared" si="12"/>
        <v>5.625629717336551</v>
      </c>
      <c r="M47" s="751">
        <f t="shared" si="12"/>
        <v>5.625629717336551</v>
      </c>
      <c r="N47" s="905"/>
    </row>
    <row r="48" spans="1:14" ht="13.5" thickBot="1" x14ac:dyDescent="0.25">
      <c r="A48" s="735" t="s">
        <v>391</v>
      </c>
      <c r="B48" s="735" t="s">
        <v>1</v>
      </c>
      <c r="C48" s="735" t="s">
        <v>2</v>
      </c>
      <c r="D48" s="735" t="s">
        <v>3</v>
      </c>
      <c r="E48" s="735" t="s">
        <v>4</v>
      </c>
      <c r="F48" s="735" t="s">
        <v>5</v>
      </c>
      <c r="G48" s="735" t="s">
        <v>6</v>
      </c>
      <c r="H48" s="735" t="s">
        <v>7</v>
      </c>
      <c r="I48" s="735" t="s">
        <v>8</v>
      </c>
      <c r="J48" s="735" t="s">
        <v>9</v>
      </c>
      <c r="K48" s="735" t="s">
        <v>10</v>
      </c>
      <c r="L48" s="735" t="s">
        <v>11</v>
      </c>
      <c r="M48" s="735" t="s">
        <v>12</v>
      </c>
    </row>
    <row r="49" spans="1:15" ht="13.5" thickBot="1" x14ac:dyDescent="0.25">
      <c r="A49" s="737">
        <f>B49+C49+D49+E49+F49+G49+H49+I49+J49+K49+L49+M49</f>
        <v>300409587</v>
      </c>
      <c r="B49" s="907">
        <v>32833054</v>
      </c>
      <c r="C49" s="907">
        <v>16899931</v>
      </c>
      <c r="D49" s="907">
        <v>16899931</v>
      </c>
      <c r="E49" s="907">
        <v>52110825</v>
      </c>
      <c r="F49" s="907">
        <v>16899931</v>
      </c>
      <c r="G49" s="907">
        <v>16899931</v>
      </c>
      <c r="H49" s="907">
        <v>40724910</v>
      </c>
      <c r="I49" s="907">
        <v>16899931</v>
      </c>
      <c r="J49" s="907">
        <v>16899931</v>
      </c>
      <c r="K49" s="907">
        <v>39541350</v>
      </c>
      <c r="L49" s="907">
        <v>16899931</v>
      </c>
      <c r="M49" s="908">
        <v>16899931</v>
      </c>
      <c r="N49" s="771">
        <f>SUM(B49:M49)</f>
        <v>300409587</v>
      </c>
    </row>
    <row r="50" spans="1:15" ht="13.5" thickBot="1" x14ac:dyDescent="0.25">
      <c r="A50" s="743">
        <v>0.22500000000000001</v>
      </c>
      <c r="B50" s="743">
        <v>0.22500000000000001</v>
      </c>
      <c r="C50" s="743">
        <v>0.22500000000000001</v>
      </c>
      <c r="D50" s="743">
        <v>0.22500000000000001</v>
      </c>
      <c r="E50" s="743">
        <v>0.22500000000000001</v>
      </c>
      <c r="F50" s="743">
        <v>0.22500000000000001</v>
      </c>
      <c r="G50" s="743">
        <v>0.22500000000000001</v>
      </c>
      <c r="H50" s="743">
        <v>0.22500000000000001</v>
      </c>
      <c r="I50" s="743">
        <v>0.22500000000000001</v>
      </c>
      <c r="J50" s="743">
        <v>0.22500000000000001</v>
      </c>
      <c r="K50" s="743">
        <v>0.22500000000000001</v>
      </c>
      <c r="L50" s="743">
        <v>0.22500000000000001</v>
      </c>
      <c r="M50" s="743">
        <v>0.22500000000000001</v>
      </c>
      <c r="N50" s="649"/>
    </row>
    <row r="51" spans="1:15" ht="13.5" thickBot="1" x14ac:dyDescent="0.25">
      <c r="A51" s="737">
        <f>A49*A50</f>
        <v>67592157.075000003</v>
      </c>
      <c r="B51" s="737">
        <f t="shared" ref="B51:M51" si="13">B49*B50</f>
        <v>7387437.1500000004</v>
      </c>
      <c r="C51" s="737">
        <f t="shared" si="13"/>
        <v>3802484.4750000001</v>
      </c>
      <c r="D51" s="737">
        <f t="shared" si="13"/>
        <v>3802484.4750000001</v>
      </c>
      <c r="E51" s="737">
        <f t="shared" si="13"/>
        <v>11724935.625</v>
      </c>
      <c r="F51" s="737">
        <f t="shared" si="13"/>
        <v>3802484.4750000001</v>
      </c>
      <c r="G51" s="737">
        <f t="shared" si="13"/>
        <v>3802484.4750000001</v>
      </c>
      <c r="H51" s="737">
        <f t="shared" si="13"/>
        <v>9163104.75</v>
      </c>
      <c r="I51" s="737">
        <f t="shared" si="13"/>
        <v>3802484.4750000001</v>
      </c>
      <c r="J51" s="737">
        <f t="shared" si="13"/>
        <v>3802484.4750000001</v>
      </c>
      <c r="K51" s="737">
        <f t="shared" si="13"/>
        <v>8896803.75</v>
      </c>
      <c r="L51" s="737">
        <f t="shared" si="13"/>
        <v>3802484.4750000001</v>
      </c>
      <c r="M51" s="912">
        <f t="shared" si="13"/>
        <v>3802484.4750000001</v>
      </c>
      <c r="N51" s="771">
        <f t="shared" ref="N51" si="14">SUM(B51:M51)</f>
        <v>67592157.075000003</v>
      </c>
    </row>
    <row r="52" spans="1:15" ht="13.5" thickBot="1" x14ac:dyDescent="0.25">
      <c r="A52" s="749" t="s">
        <v>500</v>
      </c>
    </row>
    <row r="53" spans="1:15" x14ac:dyDescent="0.2">
      <c r="A53" s="1255" t="s">
        <v>390</v>
      </c>
      <c r="B53" s="1255"/>
      <c r="C53" s="1255"/>
      <c r="D53" s="1255"/>
      <c r="E53" s="1255"/>
      <c r="F53" s="1255"/>
      <c r="G53" s="1255"/>
      <c r="H53" s="1255"/>
      <c r="I53" s="1255"/>
      <c r="J53" s="1255"/>
      <c r="K53" s="1255"/>
      <c r="L53" s="1255"/>
      <c r="M53" s="1255"/>
      <c r="N53" s="905"/>
    </row>
    <row r="54" spans="1:15" x14ac:dyDescent="0.2">
      <c r="A54" s="1266" t="s">
        <v>472</v>
      </c>
      <c r="B54" s="1266"/>
      <c r="C54" s="1266"/>
      <c r="D54" s="1266"/>
      <c r="E54" s="1266"/>
      <c r="F54" s="1266"/>
      <c r="G54" s="1266"/>
      <c r="H54" s="1266"/>
      <c r="I54" s="1266"/>
      <c r="J54" s="1266"/>
      <c r="K54" s="1266"/>
      <c r="L54" s="1266"/>
      <c r="M54" s="1266"/>
      <c r="N54" s="906"/>
    </row>
    <row r="55" spans="1:15" x14ac:dyDescent="0.2">
      <c r="A55" s="733"/>
      <c r="B55" s="902"/>
      <c r="C55" s="902"/>
      <c r="D55" s="902"/>
      <c r="E55" s="902"/>
      <c r="F55" s="902"/>
      <c r="G55" s="902"/>
      <c r="H55" s="902"/>
      <c r="I55" s="902"/>
      <c r="J55" s="902"/>
      <c r="K55" s="902"/>
      <c r="L55" s="902"/>
      <c r="M55" s="902"/>
      <c r="N55" s="905"/>
    </row>
    <row r="56" spans="1:15" ht="13.5" thickBot="1" x14ac:dyDescent="0.25">
      <c r="A56" s="751">
        <f>SUM(B56:M56)</f>
        <v>100.00000000000001</v>
      </c>
      <c r="B56" s="751">
        <f>B58/$A$58*100</f>
        <v>7.2284029839429049</v>
      </c>
      <c r="C56" s="751">
        <f t="shared" ref="C56:M56" si="15">C58/$A$58*100</f>
        <v>8.1559786716878531</v>
      </c>
      <c r="D56" s="751">
        <f t="shared" si="15"/>
        <v>7.7479701599466031</v>
      </c>
      <c r="E56" s="751">
        <f t="shared" si="15"/>
        <v>8.6096976590064607</v>
      </c>
      <c r="F56" s="751">
        <f t="shared" si="15"/>
        <v>8.5030398826592979</v>
      </c>
      <c r="G56" s="751">
        <f t="shared" si="15"/>
        <v>8.7888151726581825</v>
      </c>
      <c r="H56" s="751">
        <f t="shared" si="15"/>
        <v>8.3692944411684795</v>
      </c>
      <c r="I56" s="751">
        <f t="shared" si="15"/>
        <v>8.7359941063955819</v>
      </c>
      <c r="J56" s="751">
        <f t="shared" si="15"/>
        <v>8.6703063395735125</v>
      </c>
      <c r="K56" s="751">
        <f t="shared" si="15"/>
        <v>8.2429979937793565</v>
      </c>
      <c r="L56" s="751">
        <f t="shared" si="15"/>
        <v>8.6259503448071744</v>
      </c>
      <c r="M56" s="751">
        <f t="shared" si="15"/>
        <v>8.3215522443745957</v>
      </c>
      <c r="N56" s="905"/>
    </row>
    <row r="57" spans="1:15" ht="13.5" thickBot="1" x14ac:dyDescent="0.25">
      <c r="A57" s="735" t="s">
        <v>391</v>
      </c>
      <c r="B57" s="735" t="s">
        <v>1</v>
      </c>
      <c r="C57" s="735" t="s">
        <v>2</v>
      </c>
      <c r="D57" s="735" t="s">
        <v>3</v>
      </c>
      <c r="E57" s="735" t="s">
        <v>4</v>
      </c>
      <c r="F57" s="735" t="s">
        <v>5</v>
      </c>
      <c r="G57" s="735" t="s">
        <v>6</v>
      </c>
      <c r="H57" s="735" t="s">
        <v>7</v>
      </c>
      <c r="I57" s="735" t="s">
        <v>8</v>
      </c>
      <c r="J57" s="735" t="s">
        <v>9</v>
      </c>
      <c r="K57" s="735" t="s">
        <v>10</v>
      </c>
      <c r="L57" s="735" t="s">
        <v>11</v>
      </c>
      <c r="M57" s="735" t="s">
        <v>12</v>
      </c>
    </row>
    <row r="58" spans="1:15" ht="13.5" thickBot="1" x14ac:dyDescent="0.25">
      <c r="A58" s="737">
        <f>B58+C58+D58+E58+F58+G58+H58+I58+J58+K58+L58+M58</f>
        <v>461283759</v>
      </c>
      <c r="B58" s="762">
        <v>33343449</v>
      </c>
      <c r="C58" s="762">
        <v>37622205</v>
      </c>
      <c r="D58" s="762">
        <v>35740128</v>
      </c>
      <c r="E58" s="762">
        <v>39715137</v>
      </c>
      <c r="F58" s="762">
        <v>39223142</v>
      </c>
      <c r="G58" s="762">
        <v>40541377</v>
      </c>
      <c r="H58" s="762">
        <v>38606196</v>
      </c>
      <c r="I58" s="762">
        <v>40297722</v>
      </c>
      <c r="J58" s="762">
        <v>39994715</v>
      </c>
      <c r="K58" s="762">
        <v>38023611</v>
      </c>
      <c r="L58" s="762">
        <v>39790108</v>
      </c>
      <c r="M58" s="762">
        <v>38385969</v>
      </c>
      <c r="N58" s="909">
        <f>SUM(B58:M58)</f>
        <v>461283759</v>
      </c>
      <c r="O58" s="756"/>
    </row>
    <row r="59" spans="1:15" ht="13.5" thickBot="1" x14ac:dyDescent="0.25">
      <c r="A59" s="743">
        <v>0.22500000000000001</v>
      </c>
      <c r="B59" s="743">
        <v>0.22500000000000001</v>
      </c>
      <c r="C59" s="743">
        <v>0.22500000000000001</v>
      </c>
      <c r="D59" s="743">
        <v>0.22500000000000001</v>
      </c>
      <c r="E59" s="743">
        <v>0.22500000000000001</v>
      </c>
      <c r="F59" s="743">
        <v>0.22500000000000001</v>
      </c>
      <c r="G59" s="743">
        <v>0.22500000000000001</v>
      </c>
      <c r="H59" s="743">
        <v>0.22500000000000001</v>
      </c>
      <c r="I59" s="743">
        <v>0.22500000000000001</v>
      </c>
      <c r="J59" s="743">
        <v>0.22500000000000001</v>
      </c>
      <c r="K59" s="743">
        <v>0.22500000000000001</v>
      </c>
      <c r="L59" s="743">
        <v>0.22500000000000001</v>
      </c>
      <c r="M59" s="743">
        <v>0.22500000000000001</v>
      </c>
      <c r="N59" s="756"/>
    </row>
    <row r="60" spans="1:15" ht="13.5" thickBot="1" x14ac:dyDescent="0.25">
      <c r="A60" s="737">
        <f>A58*A59</f>
        <v>103788845.77500001</v>
      </c>
      <c r="B60" s="737">
        <f t="shared" ref="B60:H60" si="16">B58*B59</f>
        <v>7502276.0250000004</v>
      </c>
      <c r="C60" s="737">
        <f t="shared" si="16"/>
        <v>8464996.125</v>
      </c>
      <c r="D60" s="737">
        <f t="shared" si="16"/>
        <v>8041528.7999999998</v>
      </c>
      <c r="E60" s="737">
        <f t="shared" si="16"/>
        <v>8935905.8250000011</v>
      </c>
      <c r="F60" s="737">
        <f t="shared" si="16"/>
        <v>8825206.9500000011</v>
      </c>
      <c r="G60" s="737">
        <f t="shared" si="16"/>
        <v>9121809.8250000011</v>
      </c>
      <c r="H60" s="737">
        <f t="shared" si="16"/>
        <v>8686394.0999999996</v>
      </c>
      <c r="I60" s="737">
        <f>I58*I59</f>
        <v>9066987.4500000011</v>
      </c>
      <c r="J60" s="737">
        <f>J58*J59</f>
        <v>8998810.875</v>
      </c>
      <c r="K60" s="737">
        <f>K58*K59</f>
        <v>8555312.4749999996</v>
      </c>
      <c r="L60" s="737">
        <f>L58*L59</f>
        <v>8952774.3000000007</v>
      </c>
      <c r="M60" s="912">
        <f>M58*M59</f>
        <v>8636843.0250000004</v>
      </c>
      <c r="N60" s="909">
        <f>SUM(B60:M60)</f>
        <v>103788845.77500001</v>
      </c>
    </row>
    <row r="61" spans="1:15" ht="13.5" thickBot="1" x14ac:dyDescent="0.25">
      <c r="A61" s="749" t="s">
        <v>500</v>
      </c>
    </row>
    <row r="62" spans="1:15" x14ac:dyDescent="0.2">
      <c r="A62" s="1255" t="s">
        <v>390</v>
      </c>
      <c r="B62" s="1255"/>
      <c r="C62" s="1255"/>
      <c r="D62" s="1255"/>
      <c r="E62" s="1255"/>
      <c r="F62" s="1255"/>
      <c r="G62" s="1255"/>
      <c r="H62" s="1255"/>
      <c r="I62" s="1255"/>
      <c r="J62" s="1255"/>
      <c r="K62" s="1255"/>
      <c r="L62" s="1255"/>
      <c r="M62" s="1255"/>
    </row>
    <row r="63" spans="1:15" x14ac:dyDescent="0.2">
      <c r="A63" s="1266" t="s">
        <v>503</v>
      </c>
      <c r="B63" s="1266"/>
      <c r="C63" s="1266"/>
      <c r="D63" s="1266"/>
      <c r="E63" s="1266"/>
      <c r="F63" s="1266"/>
      <c r="G63" s="1266"/>
      <c r="H63" s="1266"/>
      <c r="I63" s="1266"/>
      <c r="J63" s="1266"/>
      <c r="K63" s="1266"/>
      <c r="L63" s="1266"/>
      <c r="M63" s="1266"/>
    </row>
    <row r="64" spans="1:15" x14ac:dyDescent="0.2">
      <c r="A64" s="733"/>
      <c r="B64" s="902"/>
      <c r="C64" s="902"/>
      <c r="D64" s="902"/>
      <c r="E64" s="902"/>
      <c r="F64" s="902"/>
      <c r="G64" s="902"/>
      <c r="H64" s="902"/>
      <c r="I64" s="902"/>
      <c r="J64" s="902"/>
      <c r="K64" s="902"/>
      <c r="L64" s="902"/>
      <c r="M64" s="902"/>
    </row>
    <row r="65" spans="1:14" ht="13.5" thickBot="1" x14ac:dyDescent="0.25">
      <c r="A65" s="751">
        <f>SUM(B65:M65)</f>
        <v>100</v>
      </c>
      <c r="B65" s="751">
        <f>B67/$A$67*100</f>
        <v>9.2700511785572317</v>
      </c>
      <c r="C65" s="751">
        <f t="shared" ref="C65:M65" si="17">C67/$A$67*100</f>
        <v>10.192186976872247</v>
      </c>
      <c r="D65" s="751">
        <f t="shared" si="17"/>
        <v>8.7871081064630676</v>
      </c>
      <c r="E65" s="751">
        <f t="shared" si="17"/>
        <v>7.9929337196076933</v>
      </c>
      <c r="F65" s="751">
        <f t="shared" si="17"/>
        <v>8.3314071759169757</v>
      </c>
      <c r="G65" s="751">
        <f t="shared" si="17"/>
        <v>6.7975426853023713</v>
      </c>
      <c r="H65" s="751">
        <f t="shared" si="17"/>
        <v>7.2912196946193664</v>
      </c>
      <c r="I65" s="751">
        <f t="shared" si="17"/>
        <v>8.1010804799951437</v>
      </c>
      <c r="J65" s="751">
        <f t="shared" si="17"/>
        <v>7.8971693139346471</v>
      </c>
      <c r="K65" s="751">
        <f t="shared" si="17"/>
        <v>8.0845698727289541</v>
      </c>
      <c r="L65" s="751">
        <f t="shared" si="17"/>
        <v>8.3338846080362377</v>
      </c>
      <c r="M65" s="751">
        <f t="shared" si="17"/>
        <v>8.9208461879660668</v>
      </c>
    </row>
    <row r="66" spans="1:14" ht="13.5" thickBot="1" x14ac:dyDescent="0.25">
      <c r="A66" s="735" t="s">
        <v>391</v>
      </c>
      <c r="B66" s="735" t="s">
        <v>1</v>
      </c>
      <c r="C66" s="735" t="s">
        <v>2</v>
      </c>
      <c r="D66" s="735" t="s">
        <v>3</v>
      </c>
      <c r="E66" s="735" t="s">
        <v>4</v>
      </c>
      <c r="F66" s="735" t="s">
        <v>5</v>
      </c>
      <c r="G66" s="735" t="s">
        <v>6</v>
      </c>
      <c r="H66" s="735" t="s">
        <v>7</v>
      </c>
      <c r="I66" s="735" t="s">
        <v>8</v>
      </c>
      <c r="J66" s="735" t="s">
        <v>9</v>
      </c>
      <c r="K66" s="735" t="s">
        <v>10</v>
      </c>
      <c r="L66" s="735" t="s">
        <v>11</v>
      </c>
      <c r="M66" s="735" t="s">
        <v>12</v>
      </c>
    </row>
    <row r="67" spans="1:14" ht="13.5" thickBot="1" x14ac:dyDescent="0.25">
      <c r="A67" s="737">
        <f>B67+C67+D67+E67+F67+G67+H67+I67+J67+K67+L67+M67</f>
        <v>41615671</v>
      </c>
      <c r="B67" s="914">
        <v>3857794</v>
      </c>
      <c r="C67" s="914">
        <v>4241547</v>
      </c>
      <c r="D67" s="914">
        <v>3656814</v>
      </c>
      <c r="E67" s="914">
        <v>3326313</v>
      </c>
      <c r="F67" s="914">
        <v>3467171</v>
      </c>
      <c r="G67" s="914">
        <v>2828843</v>
      </c>
      <c r="H67" s="914">
        <v>3034290</v>
      </c>
      <c r="I67" s="914">
        <v>3371319</v>
      </c>
      <c r="J67" s="914">
        <v>3286460</v>
      </c>
      <c r="K67" s="914">
        <v>3364448</v>
      </c>
      <c r="L67" s="914">
        <v>3468202</v>
      </c>
      <c r="M67" s="915">
        <v>3712470</v>
      </c>
      <c r="N67" s="771">
        <f>SUM(B67:M67)</f>
        <v>41615671</v>
      </c>
    </row>
    <row r="68" spans="1:14" ht="13.5" thickBot="1" x14ac:dyDescent="0.25">
      <c r="A68" s="743">
        <v>0.22500000000000001</v>
      </c>
      <c r="B68" s="743">
        <v>0.22500000000000001</v>
      </c>
      <c r="C68" s="743">
        <v>0.22500000000000001</v>
      </c>
      <c r="D68" s="743">
        <v>0.22500000000000001</v>
      </c>
      <c r="E68" s="743">
        <v>0.22500000000000001</v>
      </c>
      <c r="F68" s="743">
        <v>0.22500000000000001</v>
      </c>
      <c r="G68" s="743">
        <v>0.22500000000000001</v>
      </c>
      <c r="H68" s="743">
        <v>0.22500000000000001</v>
      </c>
      <c r="I68" s="743">
        <v>0.22500000000000001</v>
      </c>
      <c r="J68" s="743">
        <v>0.22500000000000001</v>
      </c>
      <c r="K68" s="743">
        <v>0.22500000000000001</v>
      </c>
      <c r="L68" s="743">
        <v>0.22500000000000001</v>
      </c>
      <c r="M68" s="743">
        <v>0.22500000000000001</v>
      </c>
      <c r="N68" s="649"/>
    </row>
    <row r="69" spans="1:14" ht="13.5" thickBot="1" x14ac:dyDescent="0.25">
      <c r="A69" s="737">
        <f t="shared" ref="A69:M69" si="18">A67*A68</f>
        <v>9363525.9749999996</v>
      </c>
      <c r="B69" s="737">
        <f t="shared" si="18"/>
        <v>868003.65</v>
      </c>
      <c r="C69" s="737">
        <f t="shared" si="18"/>
        <v>954348.07500000007</v>
      </c>
      <c r="D69" s="737">
        <f t="shared" si="18"/>
        <v>822783.15</v>
      </c>
      <c r="E69" s="737">
        <f t="shared" si="18"/>
        <v>748420.42500000005</v>
      </c>
      <c r="F69" s="737">
        <f t="shared" si="18"/>
        <v>780113.47499999998</v>
      </c>
      <c r="G69" s="737">
        <f t="shared" si="18"/>
        <v>636489.67500000005</v>
      </c>
      <c r="H69" s="737">
        <f t="shared" si="18"/>
        <v>682715.25</v>
      </c>
      <c r="I69" s="737">
        <f t="shared" si="18"/>
        <v>758546.77500000002</v>
      </c>
      <c r="J69" s="737">
        <f t="shared" si="18"/>
        <v>739453.5</v>
      </c>
      <c r="K69" s="737">
        <f t="shared" si="18"/>
        <v>757000.8</v>
      </c>
      <c r="L69" s="737">
        <f t="shared" si="18"/>
        <v>780345.45000000007</v>
      </c>
      <c r="M69" s="912">
        <f t="shared" si="18"/>
        <v>835305.75</v>
      </c>
      <c r="N69" s="771">
        <f t="shared" ref="N69" si="19">SUM(B69:M69)</f>
        <v>9363525.9749999996</v>
      </c>
    </row>
    <row r="70" spans="1:14" ht="13.5" thickBot="1" x14ac:dyDescent="0.25">
      <c r="A70" s="749" t="s">
        <v>500</v>
      </c>
    </row>
    <row r="71" spans="1:14" x14ac:dyDescent="0.2">
      <c r="A71" s="1255" t="s">
        <v>390</v>
      </c>
      <c r="B71" s="1255"/>
      <c r="C71" s="1255"/>
      <c r="D71" s="1255"/>
      <c r="E71" s="1255"/>
      <c r="F71" s="1255"/>
      <c r="G71" s="1255"/>
      <c r="H71" s="1255"/>
      <c r="I71" s="1255"/>
      <c r="J71" s="1255"/>
      <c r="K71" s="1255"/>
      <c r="L71" s="1255"/>
      <c r="M71" s="1255"/>
    </row>
    <row r="72" spans="1:14" x14ac:dyDescent="0.2">
      <c r="A72" s="1266" t="s">
        <v>504</v>
      </c>
      <c r="B72" s="1266"/>
      <c r="C72" s="1266"/>
      <c r="D72" s="1266"/>
      <c r="E72" s="1266"/>
      <c r="F72" s="1266"/>
      <c r="G72" s="1266"/>
      <c r="H72" s="1266"/>
      <c r="I72" s="1266"/>
      <c r="J72" s="1266"/>
      <c r="K72" s="1266"/>
      <c r="L72" s="1266"/>
      <c r="M72" s="1266"/>
    </row>
    <row r="73" spans="1:14" x14ac:dyDescent="0.2">
      <c r="A73" s="733"/>
      <c r="B73" s="902"/>
      <c r="C73" s="902"/>
      <c r="D73" s="902"/>
      <c r="E73" s="902"/>
      <c r="F73" s="902"/>
      <c r="G73" s="902"/>
      <c r="H73" s="902"/>
      <c r="I73" s="902"/>
      <c r="J73" s="902"/>
      <c r="K73" s="902"/>
      <c r="L73" s="902"/>
      <c r="M73" s="902"/>
    </row>
    <row r="74" spans="1:14" ht="13.5" thickBot="1" x14ac:dyDescent="0.25">
      <c r="A74" s="751">
        <f>SUM(B74:M74)</f>
        <v>99.999999999999957</v>
      </c>
      <c r="B74" s="751">
        <f>B76/$A$76*100</f>
        <v>8.3333333333333321</v>
      </c>
      <c r="C74" s="751">
        <f t="shared" ref="C74:M74" si="20">C76/$A$76*100</f>
        <v>8.3333333333333321</v>
      </c>
      <c r="D74" s="751">
        <f t="shared" si="20"/>
        <v>8.3333333333333321</v>
      </c>
      <c r="E74" s="751">
        <f t="shared" si="20"/>
        <v>8.3333333333333321</v>
      </c>
      <c r="F74" s="751">
        <f t="shared" si="20"/>
        <v>8.3333333333333321</v>
      </c>
      <c r="G74" s="751">
        <f t="shared" si="20"/>
        <v>8.3333333333333321</v>
      </c>
      <c r="H74" s="751">
        <f t="shared" si="20"/>
        <v>8.3333333333333321</v>
      </c>
      <c r="I74" s="751">
        <f t="shared" si="20"/>
        <v>8.3333333333333321</v>
      </c>
      <c r="J74" s="751">
        <f t="shared" si="20"/>
        <v>8.3333333333333321</v>
      </c>
      <c r="K74" s="751">
        <f t="shared" si="20"/>
        <v>8.3333333333333321</v>
      </c>
      <c r="L74" s="751">
        <f t="shared" si="20"/>
        <v>8.3333333333333321</v>
      </c>
      <c r="M74" s="751">
        <f t="shared" si="20"/>
        <v>8.3333333333333321</v>
      </c>
    </row>
    <row r="75" spans="1:14" ht="13.5" thickBot="1" x14ac:dyDescent="0.25">
      <c r="A75" s="735" t="s">
        <v>391</v>
      </c>
      <c r="B75" s="735" t="s">
        <v>1</v>
      </c>
      <c r="C75" s="735" t="s">
        <v>2</v>
      </c>
      <c r="D75" s="735" t="s">
        <v>3</v>
      </c>
      <c r="E75" s="735" t="s">
        <v>4</v>
      </c>
      <c r="F75" s="735" t="s">
        <v>5</v>
      </c>
      <c r="G75" s="735" t="s">
        <v>6</v>
      </c>
      <c r="H75" s="735" t="s">
        <v>7</v>
      </c>
      <c r="I75" s="735" t="s">
        <v>8</v>
      </c>
      <c r="J75" s="735" t="s">
        <v>9</v>
      </c>
      <c r="K75" s="735" t="s">
        <v>10</v>
      </c>
      <c r="L75" s="735" t="s">
        <v>11</v>
      </c>
      <c r="M75" s="735" t="s">
        <v>12</v>
      </c>
      <c r="N75" s="649"/>
    </row>
    <row r="76" spans="1:14" ht="13.5" thickBot="1" x14ac:dyDescent="0.25">
      <c r="A76" s="737">
        <f>B76+C76+D76+E76+F76+G76+H76+I76+J76+K76+L76+M76</f>
        <v>11660568</v>
      </c>
      <c r="B76" s="914">
        <v>971714</v>
      </c>
      <c r="C76" s="914">
        <v>971714</v>
      </c>
      <c r="D76" s="914">
        <v>971714</v>
      </c>
      <c r="E76" s="914">
        <v>971714</v>
      </c>
      <c r="F76" s="914">
        <v>971714</v>
      </c>
      <c r="G76" s="914">
        <v>971714</v>
      </c>
      <c r="H76" s="914">
        <v>971714</v>
      </c>
      <c r="I76" s="914">
        <v>971714</v>
      </c>
      <c r="J76" s="914">
        <v>971714</v>
      </c>
      <c r="K76" s="914">
        <v>971714</v>
      </c>
      <c r="L76" s="914">
        <v>971714</v>
      </c>
      <c r="M76" s="915">
        <v>971714</v>
      </c>
      <c r="N76" s="771">
        <f>SUM(B76:M76)</f>
        <v>11660568</v>
      </c>
    </row>
    <row r="77" spans="1:14" ht="13.5" thickBot="1" x14ac:dyDescent="0.25">
      <c r="A77" s="743">
        <v>0.22500000000000001</v>
      </c>
      <c r="B77" s="743">
        <v>0.22500000000000001</v>
      </c>
      <c r="C77" s="743">
        <v>0.22500000000000001</v>
      </c>
      <c r="D77" s="743">
        <v>0.22500000000000001</v>
      </c>
      <c r="E77" s="743">
        <v>0.22500000000000001</v>
      </c>
      <c r="F77" s="743">
        <v>0.22500000000000001</v>
      </c>
      <c r="G77" s="743">
        <v>0.22500000000000001</v>
      </c>
      <c r="H77" s="743">
        <v>0.22500000000000001</v>
      </c>
      <c r="I77" s="743">
        <v>0.22500000000000001</v>
      </c>
      <c r="J77" s="743">
        <v>0.22500000000000001</v>
      </c>
      <c r="K77" s="743">
        <v>0.22500000000000001</v>
      </c>
      <c r="L77" s="743">
        <v>0.22500000000000001</v>
      </c>
      <c r="M77" s="743">
        <v>0.22500000000000001</v>
      </c>
    </row>
    <row r="78" spans="1:14" ht="13.5" thickBot="1" x14ac:dyDescent="0.25">
      <c r="A78" s="737">
        <f t="shared" ref="A78:M78" si="21">A76*A77</f>
        <v>2623627.8000000003</v>
      </c>
      <c r="B78" s="737">
        <f t="shared" si="21"/>
        <v>218635.65</v>
      </c>
      <c r="C78" s="737">
        <f t="shared" si="21"/>
        <v>218635.65</v>
      </c>
      <c r="D78" s="737">
        <f t="shared" si="21"/>
        <v>218635.65</v>
      </c>
      <c r="E78" s="737">
        <f t="shared" si="21"/>
        <v>218635.65</v>
      </c>
      <c r="F78" s="737">
        <f t="shared" si="21"/>
        <v>218635.65</v>
      </c>
      <c r="G78" s="737">
        <f t="shared" si="21"/>
        <v>218635.65</v>
      </c>
      <c r="H78" s="737">
        <f t="shared" si="21"/>
        <v>218635.65</v>
      </c>
      <c r="I78" s="737">
        <f t="shared" si="21"/>
        <v>218635.65</v>
      </c>
      <c r="J78" s="737">
        <f t="shared" si="21"/>
        <v>218635.65</v>
      </c>
      <c r="K78" s="737">
        <f t="shared" si="21"/>
        <v>218635.65</v>
      </c>
      <c r="L78" s="737">
        <f t="shared" si="21"/>
        <v>218635.65</v>
      </c>
      <c r="M78" s="912">
        <f t="shared" si="21"/>
        <v>218635.65</v>
      </c>
      <c r="N78" s="771">
        <f>SUM(B78:M78)</f>
        <v>2623627.7999999993</v>
      </c>
    </row>
    <row r="79" spans="1:14" ht="13.5" thickBot="1" x14ac:dyDescent="0.25">
      <c r="A79" s="749" t="s">
        <v>500</v>
      </c>
    </row>
    <row r="80" spans="1:14" x14ac:dyDescent="0.2">
      <c r="A80" s="1262"/>
      <c r="B80" s="1262"/>
      <c r="C80" s="1262"/>
      <c r="D80" s="1262"/>
      <c r="E80" s="1262"/>
      <c r="F80" s="1262"/>
      <c r="G80" s="1262"/>
      <c r="H80" s="1262"/>
      <c r="I80" s="1262"/>
      <c r="J80" s="1262"/>
      <c r="K80" s="1262"/>
      <c r="L80" s="1262"/>
      <c r="M80" s="1262"/>
    </row>
    <row r="81" spans="1:26" x14ac:dyDescent="0.2">
      <c r="A81" s="1262"/>
      <c r="B81" s="1262"/>
      <c r="C81" s="1262"/>
      <c r="D81" s="1262"/>
      <c r="E81" s="1262"/>
      <c r="F81" s="1262"/>
      <c r="G81" s="1262"/>
      <c r="H81" s="1262"/>
      <c r="I81" s="1262"/>
      <c r="J81" s="1262"/>
      <c r="K81" s="1262"/>
      <c r="L81" s="1262"/>
      <c r="M81" s="1262"/>
    </row>
    <row r="82" spans="1:26" x14ac:dyDescent="0.2">
      <c r="A82" s="1255" t="s">
        <v>390</v>
      </c>
      <c r="B82" s="1255"/>
      <c r="C82" s="1255"/>
      <c r="D82" s="1255"/>
      <c r="E82" s="1255"/>
      <c r="F82" s="1255"/>
      <c r="G82" s="1255"/>
      <c r="H82" s="1255"/>
      <c r="I82" s="1255"/>
      <c r="J82" s="1255"/>
      <c r="K82" s="1255"/>
      <c r="L82" s="1255"/>
      <c r="M82" s="1255"/>
    </row>
    <row r="83" spans="1:26" x14ac:dyDescent="0.2">
      <c r="A83" s="1266" t="s">
        <v>505</v>
      </c>
      <c r="B83" s="1266"/>
      <c r="C83" s="1266"/>
      <c r="D83" s="1266"/>
      <c r="E83" s="1266"/>
      <c r="F83" s="1266"/>
      <c r="G83" s="1266"/>
      <c r="H83" s="1266"/>
      <c r="I83" s="1266"/>
      <c r="J83" s="1266"/>
      <c r="K83" s="1266"/>
      <c r="L83" s="1266"/>
      <c r="M83" s="1266"/>
      <c r="N83" s="766"/>
      <c r="O83" s="766"/>
      <c r="P83" s="766"/>
      <c r="Q83" s="766"/>
      <c r="R83" s="766"/>
      <c r="S83" s="766"/>
      <c r="T83" s="766"/>
      <c r="U83" s="766"/>
      <c r="V83" s="766"/>
      <c r="W83" s="766"/>
      <c r="X83" s="766"/>
      <c r="Y83" s="766"/>
      <c r="Z83" s="766"/>
    </row>
    <row r="84" spans="1:26" ht="13.5" thickBot="1" x14ac:dyDescent="0.25">
      <c r="A84" s="751"/>
      <c r="B84" s="916">
        <f>B86/$A$86*100</f>
        <v>10.753411058589904</v>
      </c>
      <c r="C84" s="916">
        <f t="shared" ref="C84:M84" si="22">C86/$A$86*100</f>
        <v>9.984026136181507</v>
      </c>
      <c r="D84" s="916">
        <f t="shared" si="22"/>
        <v>8.1812459438793272</v>
      </c>
      <c r="E84" s="916">
        <f t="shared" si="22"/>
        <v>7.9312875025419434</v>
      </c>
      <c r="F84" s="916">
        <f t="shared" si="22"/>
        <v>7.1235060513125603</v>
      </c>
      <c r="G84" s="916">
        <f t="shared" si="22"/>
        <v>6.3143257159134034</v>
      </c>
      <c r="H84" s="916">
        <f t="shared" si="22"/>
        <v>7.6737552201396193</v>
      </c>
      <c r="I84" s="916">
        <f t="shared" si="22"/>
        <v>8.9837203845213036</v>
      </c>
      <c r="J84" s="916">
        <f t="shared" si="22"/>
        <v>9.062660126138697</v>
      </c>
      <c r="K84" s="916">
        <f t="shared" si="22"/>
        <v>6.7582980748944657</v>
      </c>
      <c r="L84" s="916">
        <f t="shared" si="22"/>
        <v>9.6172047816827195</v>
      </c>
      <c r="M84" s="916">
        <f t="shared" si="22"/>
        <v>7.6165590042045528</v>
      </c>
      <c r="N84" s="766"/>
      <c r="O84" s="766"/>
    </row>
    <row r="85" spans="1:26" ht="13.5" thickBot="1" x14ac:dyDescent="0.25">
      <c r="A85" s="735" t="s">
        <v>391</v>
      </c>
      <c r="B85" s="735" t="s">
        <v>1</v>
      </c>
      <c r="C85" s="735" t="s">
        <v>2</v>
      </c>
      <c r="D85" s="735" t="s">
        <v>3</v>
      </c>
      <c r="E85" s="735" t="s">
        <v>4</v>
      </c>
      <c r="F85" s="735" t="s">
        <v>5</v>
      </c>
      <c r="G85" s="735" t="s">
        <v>6</v>
      </c>
      <c r="H85" s="735" t="s">
        <v>7</v>
      </c>
      <c r="I85" s="735" t="s">
        <v>8</v>
      </c>
      <c r="J85" s="735" t="s">
        <v>9</v>
      </c>
      <c r="K85" s="735" t="s">
        <v>10</v>
      </c>
      <c r="L85" s="735" t="s">
        <v>11</v>
      </c>
      <c r="M85" s="735" t="s">
        <v>12</v>
      </c>
      <c r="N85" s="766"/>
      <c r="O85" s="766"/>
    </row>
    <row r="86" spans="1:26" ht="13.5" thickBot="1" x14ac:dyDescent="0.25">
      <c r="A86" s="737">
        <f>B86+C86+D86+E86+F86+G86+H86+I86+J86+K86+L86+M86</f>
        <v>802353779</v>
      </c>
      <c r="B86" s="914">
        <v>86280400</v>
      </c>
      <c r="C86" s="914">
        <v>80107211</v>
      </c>
      <c r="D86" s="914">
        <v>65642536</v>
      </c>
      <c r="E86" s="914">
        <v>63636985</v>
      </c>
      <c r="F86" s="914">
        <v>57155720</v>
      </c>
      <c r="G86" s="914">
        <v>50663231</v>
      </c>
      <c r="H86" s="914">
        <v>61570665</v>
      </c>
      <c r="I86" s="914">
        <v>72081220</v>
      </c>
      <c r="J86" s="914">
        <v>72714596</v>
      </c>
      <c r="K86" s="914">
        <v>54225460</v>
      </c>
      <c r="L86" s="914">
        <v>77164006</v>
      </c>
      <c r="M86" s="915">
        <v>61111749</v>
      </c>
      <c r="N86" s="771">
        <f>SUM(B86:M86)</f>
        <v>802353779</v>
      </c>
    </row>
    <row r="87" spans="1:26" ht="13.5" thickBot="1" x14ac:dyDescent="0.25">
      <c r="A87" s="743">
        <v>0.22500000000000001</v>
      </c>
      <c r="B87" s="743">
        <v>0.22500000000000001</v>
      </c>
      <c r="C87" s="743">
        <v>0.22500000000000001</v>
      </c>
      <c r="D87" s="743">
        <v>0.22500000000000001</v>
      </c>
      <c r="E87" s="743">
        <v>0.22500000000000001</v>
      </c>
      <c r="F87" s="743">
        <v>0.22500000000000001</v>
      </c>
      <c r="G87" s="743">
        <v>0.22500000000000001</v>
      </c>
      <c r="H87" s="743">
        <v>0.22500000000000001</v>
      </c>
      <c r="I87" s="743">
        <v>0.22500000000000001</v>
      </c>
      <c r="J87" s="743">
        <v>0.22500000000000001</v>
      </c>
      <c r="K87" s="743">
        <v>0.22500000000000001</v>
      </c>
      <c r="L87" s="743">
        <v>0.22500000000000001</v>
      </c>
      <c r="M87" s="743">
        <v>0.22500000000000001</v>
      </c>
    </row>
    <row r="88" spans="1:26" ht="13.5" thickBot="1" x14ac:dyDescent="0.25">
      <c r="A88" s="737">
        <f t="shared" ref="A88:M88" si="23">A86*A87</f>
        <v>180529600.27500001</v>
      </c>
      <c r="B88" s="737">
        <f t="shared" si="23"/>
        <v>19413090</v>
      </c>
      <c r="C88" s="737">
        <f t="shared" si="23"/>
        <v>18024122.475000001</v>
      </c>
      <c r="D88" s="737">
        <f t="shared" si="23"/>
        <v>14769570.6</v>
      </c>
      <c r="E88" s="737">
        <f t="shared" si="23"/>
        <v>14318321.625</v>
      </c>
      <c r="F88" s="737">
        <f t="shared" si="23"/>
        <v>12860037</v>
      </c>
      <c r="G88" s="737">
        <f t="shared" si="23"/>
        <v>11399226.975</v>
      </c>
      <c r="H88" s="737">
        <f t="shared" si="23"/>
        <v>13853399.625</v>
      </c>
      <c r="I88" s="737">
        <f t="shared" si="23"/>
        <v>16218274.5</v>
      </c>
      <c r="J88" s="737">
        <f t="shared" si="23"/>
        <v>16360784.1</v>
      </c>
      <c r="K88" s="737">
        <f t="shared" si="23"/>
        <v>12200728.5</v>
      </c>
      <c r="L88" s="737">
        <f t="shared" si="23"/>
        <v>17361901.350000001</v>
      </c>
      <c r="M88" s="912">
        <f t="shared" si="23"/>
        <v>13750143.525</v>
      </c>
      <c r="N88" s="771">
        <f>SUM(B88:M88)</f>
        <v>180529600.27500001</v>
      </c>
    </row>
    <row r="89" spans="1:26" ht="13.5" thickBot="1" x14ac:dyDescent="0.25">
      <c r="A89" s="749" t="s">
        <v>500</v>
      </c>
    </row>
    <row r="92" spans="1:26" x14ac:dyDescent="0.2">
      <c r="A92" s="1255" t="s">
        <v>390</v>
      </c>
      <c r="B92" s="1255"/>
      <c r="C92" s="1255"/>
      <c r="D92" s="1255"/>
      <c r="E92" s="1255"/>
      <c r="F92" s="1255"/>
      <c r="G92" s="1255"/>
      <c r="H92" s="1255"/>
      <c r="I92" s="1255"/>
      <c r="J92" s="1255"/>
      <c r="K92" s="1255"/>
      <c r="L92" s="1255"/>
      <c r="M92" s="1255"/>
    </row>
    <row r="93" spans="1:26" x14ac:dyDescent="0.2">
      <c r="A93" s="1266" t="s">
        <v>506</v>
      </c>
      <c r="B93" s="1266"/>
      <c r="C93" s="1266"/>
      <c r="D93" s="1266"/>
      <c r="E93" s="1266"/>
      <c r="F93" s="1266"/>
      <c r="G93" s="1266"/>
      <c r="H93" s="1266"/>
      <c r="I93" s="1266"/>
      <c r="J93" s="1266"/>
      <c r="K93" s="1266"/>
      <c r="L93" s="1266"/>
      <c r="M93" s="1266"/>
    </row>
    <row r="94" spans="1:26" ht="13.5" thickBot="1" x14ac:dyDescent="0.25">
      <c r="A94" s="767">
        <f>SUM(B94:M94)</f>
        <v>100</v>
      </c>
      <c r="B94" s="916">
        <f>B96/$A$96*100</f>
        <v>11.109148961283163</v>
      </c>
      <c r="C94" s="916">
        <f t="shared" ref="C94:M94" si="24">C96/$A$96*100</f>
        <v>8.7582720966496641</v>
      </c>
      <c r="D94" s="916">
        <f t="shared" si="24"/>
        <v>10.408470288875748</v>
      </c>
      <c r="E94" s="916">
        <f t="shared" si="24"/>
        <v>5.0617528800082994</v>
      </c>
      <c r="F94" s="916">
        <f t="shared" si="24"/>
        <v>9.0907609005724357</v>
      </c>
      <c r="G94" s="916">
        <f t="shared" si="24"/>
        <v>6.6768939953083484</v>
      </c>
      <c r="H94" s="916">
        <f t="shared" si="24"/>
        <v>10.925260304330445</v>
      </c>
      <c r="I94" s="916">
        <f t="shared" si="24"/>
        <v>5.5537393091763514</v>
      </c>
      <c r="J94" s="916">
        <f t="shared" si="24"/>
        <v>10.55844897187877</v>
      </c>
      <c r="K94" s="916">
        <f t="shared" si="24"/>
        <v>5.5579051041956902</v>
      </c>
      <c r="L94" s="916">
        <f t="shared" si="24"/>
        <v>9.8475067465251591</v>
      </c>
      <c r="M94" s="916">
        <f t="shared" si="24"/>
        <v>6.4518404411959285</v>
      </c>
    </row>
    <row r="95" spans="1:26" ht="13.5" thickBot="1" x14ac:dyDescent="0.25">
      <c r="A95" s="735" t="s">
        <v>391</v>
      </c>
      <c r="B95" s="735" t="s">
        <v>1</v>
      </c>
      <c r="C95" s="735" t="s">
        <v>2</v>
      </c>
      <c r="D95" s="735" t="s">
        <v>3</v>
      </c>
      <c r="E95" s="735" t="s">
        <v>4</v>
      </c>
      <c r="F95" s="735" t="s">
        <v>5</v>
      </c>
      <c r="G95" s="735" t="s">
        <v>6</v>
      </c>
      <c r="H95" s="735" t="s">
        <v>7</v>
      </c>
      <c r="I95" s="735" t="s">
        <v>8</v>
      </c>
      <c r="J95" s="735" t="s">
        <v>9</v>
      </c>
      <c r="K95" s="735" t="s">
        <v>10</v>
      </c>
      <c r="L95" s="735" t="s">
        <v>11</v>
      </c>
      <c r="M95" s="735" t="s">
        <v>12</v>
      </c>
    </row>
    <row r="96" spans="1:26" ht="13.5" thickBot="1" x14ac:dyDescent="0.25">
      <c r="A96" s="737">
        <f>B96+C96+D96+E96+F96+G96+H96+I96+J96+K96+L96+M96</f>
        <v>9938079</v>
      </c>
      <c r="B96" s="914">
        <v>1104036</v>
      </c>
      <c r="C96" s="914">
        <v>870404</v>
      </c>
      <c r="D96" s="914">
        <v>1034402</v>
      </c>
      <c r="E96" s="914">
        <v>503041</v>
      </c>
      <c r="F96" s="914">
        <v>903447</v>
      </c>
      <c r="G96" s="914">
        <v>663555</v>
      </c>
      <c r="H96" s="914">
        <v>1085761</v>
      </c>
      <c r="I96" s="914">
        <v>551935</v>
      </c>
      <c r="J96" s="914">
        <v>1049307</v>
      </c>
      <c r="K96" s="914">
        <v>552349</v>
      </c>
      <c r="L96" s="914">
        <v>978653</v>
      </c>
      <c r="M96" s="915">
        <v>641189</v>
      </c>
      <c r="N96" s="771">
        <f>SUM(B96:M96)</f>
        <v>9938079</v>
      </c>
    </row>
    <row r="97" spans="1:16" ht="13.5" thickBot="1" x14ac:dyDescent="0.25">
      <c r="A97" s="743">
        <v>0.22500000000000001</v>
      </c>
      <c r="B97" s="743">
        <v>0.22500000000000001</v>
      </c>
      <c r="C97" s="743">
        <v>0.22500000000000001</v>
      </c>
      <c r="D97" s="743">
        <v>0.22500000000000001</v>
      </c>
      <c r="E97" s="743">
        <v>0.22500000000000001</v>
      </c>
      <c r="F97" s="743">
        <v>0.22500000000000001</v>
      </c>
      <c r="G97" s="743">
        <v>0.22500000000000001</v>
      </c>
      <c r="H97" s="743">
        <v>0.22500000000000001</v>
      </c>
      <c r="I97" s="743">
        <v>0.22500000000000001</v>
      </c>
      <c r="J97" s="743">
        <v>0.22500000000000001</v>
      </c>
      <c r="K97" s="743">
        <v>0.22500000000000001</v>
      </c>
      <c r="L97" s="743">
        <v>0.22500000000000001</v>
      </c>
      <c r="M97" s="743">
        <v>0.22500000000000001</v>
      </c>
    </row>
    <row r="98" spans="1:16" ht="13.5" thickBot="1" x14ac:dyDescent="0.25">
      <c r="A98" s="737">
        <f t="shared" ref="A98:M98" si="25">A96*A97</f>
        <v>2236067.7749999999</v>
      </c>
      <c r="B98" s="737">
        <f t="shared" si="25"/>
        <v>248408.1</v>
      </c>
      <c r="C98" s="737">
        <f t="shared" si="25"/>
        <v>195840.9</v>
      </c>
      <c r="D98" s="737">
        <f t="shared" si="25"/>
        <v>232740.45</v>
      </c>
      <c r="E98" s="737">
        <f t="shared" si="25"/>
        <v>113184.22500000001</v>
      </c>
      <c r="F98" s="737">
        <f t="shared" si="25"/>
        <v>203275.57500000001</v>
      </c>
      <c r="G98" s="737">
        <f t="shared" si="25"/>
        <v>149299.875</v>
      </c>
      <c r="H98" s="737">
        <f t="shared" si="25"/>
        <v>244296.22500000001</v>
      </c>
      <c r="I98" s="737">
        <f t="shared" si="25"/>
        <v>124185.375</v>
      </c>
      <c r="J98" s="737">
        <f t="shared" si="25"/>
        <v>236094.07500000001</v>
      </c>
      <c r="K98" s="737">
        <f t="shared" si="25"/>
        <v>124278.52500000001</v>
      </c>
      <c r="L98" s="737">
        <f t="shared" si="25"/>
        <v>220196.92500000002</v>
      </c>
      <c r="M98" s="912">
        <f t="shared" si="25"/>
        <v>144267.52499999999</v>
      </c>
      <c r="N98" s="771">
        <f>SUM(B98:M98)</f>
        <v>2236067.7749999999</v>
      </c>
    </row>
    <row r="99" spans="1:16" ht="13.5" thickBot="1" x14ac:dyDescent="0.25">
      <c r="A99" s="749" t="s">
        <v>500</v>
      </c>
    </row>
    <row r="102" spans="1:16" x14ac:dyDescent="0.2">
      <c r="A102" s="1255" t="s">
        <v>390</v>
      </c>
      <c r="B102" s="1255"/>
      <c r="C102" s="1255"/>
      <c r="D102" s="1255"/>
      <c r="E102" s="1255"/>
      <c r="F102" s="1255"/>
      <c r="G102" s="1255"/>
      <c r="H102" s="1255"/>
      <c r="I102" s="1255"/>
      <c r="J102" s="1255"/>
      <c r="K102" s="1255"/>
      <c r="L102" s="1255"/>
      <c r="M102" s="1255"/>
    </row>
    <row r="103" spans="1:16" x14ac:dyDescent="0.2">
      <c r="A103" s="1266" t="s">
        <v>507</v>
      </c>
      <c r="B103" s="1266"/>
      <c r="C103" s="1266"/>
      <c r="D103" s="1266"/>
      <c r="E103" s="1266"/>
      <c r="F103" s="1266"/>
      <c r="G103" s="1266"/>
      <c r="H103" s="1266"/>
      <c r="I103" s="1266"/>
      <c r="J103" s="1266"/>
      <c r="K103" s="1266"/>
      <c r="L103" s="1266"/>
      <c r="M103" s="1266"/>
    </row>
    <row r="104" spans="1:16" ht="13.5" thickBot="1" x14ac:dyDescent="0.25">
      <c r="A104" s="767">
        <f>SUM(B104:M104)</f>
        <v>100</v>
      </c>
      <c r="B104" s="916">
        <f>B106/$A$106*100</f>
        <v>5.8256611383271864</v>
      </c>
      <c r="C104" s="916">
        <f t="shared" ref="C104:M104" si="26">C106/$A$106*100</f>
        <v>6.5907049540710538</v>
      </c>
      <c r="D104" s="916">
        <f t="shared" si="26"/>
        <v>8.7536054286702516</v>
      </c>
      <c r="E104" s="916">
        <f t="shared" si="26"/>
        <v>8.7166396565151008</v>
      </c>
      <c r="F104" s="916">
        <f t="shared" si="26"/>
        <v>8.6790487281551805</v>
      </c>
      <c r="G104" s="916">
        <f t="shared" si="26"/>
        <v>8.5543260517180713</v>
      </c>
      <c r="H104" s="916">
        <f t="shared" si="26"/>
        <v>7.4537085316020892</v>
      </c>
      <c r="I104" s="916">
        <f t="shared" si="26"/>
        <v>8.6289212826617856</v>
      </c>
      <c r="J104" s="916">
        <f t="shared" si="26"/>
        <v>7.5385705163451835</v>
      </c>
      <c r="K104" s="916">
        <f t="shared" si="26"/>
        <v>11.034997246133939</v>
      </c>
      <c r="L104" s="916">
        <f t="shared" si="26"/>
        <v>9.6797751487481651</v>
      </c>
      <c r="M104" s="916">
        <f t="shared" si="26"/>
        <v>8.5440413170519918</v>
      </c>
    </row>
    <row r="105" spans="1:16" ht="13.5" thickBot="1" x14ac:dyDescent="0.25">
      <c r="A105" s="735" t="s">
        <v>391</v>
      </c>
      <c r="B105" s="735" t="s">
        <v>1</v>
      </c>
      <c r="C105" s="735" t="s">
        <v>2</v>
      </c>
      <c r="D105" s="735" t="s">
        <v>3</v>
      </c>
      <c r="E105" s="735" t="s">
        <v>4</v>
      </c>
      <c r="F105" s="735" t="s">
        <v>5</v>
      </c>
      <c r="G105" s="735" t="s">
        <v>6</v>
      </c>
      <c r="H105" s="735" t="s">
        <v>7</v>
      </c>
      <c r="I105" s="735" t="s">
        <v>8</v>
      </c>
      <c r="J105" s="735" t="s">
        <v>9</v>
      </c>
      <c r="K105" s="735" t="s">
        <v>10</v>
      </c>
      <c r="L105" s="735" t="s">
        <v>11</v>
      </c>
      <c r="M105" s="735" t="s">
        <v>12</v>
      </c>
    </row>
    <row r="106" spans="1:16" ht="13.5" thickBot="1" x14ac:dyDescent="0.25">
      <c r="A106" s="737">
        <f>B106+C106+D106+E106+F106+G106+H106+I106+J106+K106+L106+M106</f>
        <v>311442162</v>
      </c>
      <c r="B106" s="914">
        <v>18143565</v>
      </c>
      <c r="C106" s="914">
        <v>20526234</v>
      </c>
      <c r="D106" s="914">
        <v>27262418</v>
      </c>
      <c r="E106" s="914">
        <v>27147291</v>
      </c>
      <c r="F106" s="914">
        <v>27030217</v>
      </c>
      <c r="G106" s="914">
        <v>26641778</v>
      </c>
      <c r="H106" s="914">
        <v>23213991</v>
      </c>
      <c r="I106" s="914">
        <v>26874099</v>
      </c>
      <c r="J106" s="914">
        <v>23478287</v>
      </c>
      <c r="K106" s="914">
        <v>34367634</v>
      </c>
      <c r="L106" s="914">
        <v>30146901</v>
      </c>
      <c r="M106" s="915">
        <v>26609747</v>
      </c>
      <c r="N106" s="771">
        <f>SUM(B106:M106)</f>
        <v>311442162</v>
      </c>
      <c r="P106" s="771">
        <f>N10+N19+N31+N40+N49+N58+N67+N76+N86+N96+N106</f>
        <v>9496198965</v>
      </c>
    </row>
    <row r="107" spans="1:16" ht="13.5" thickBot="1" x14ac:dyDescent="0.25">
      <c r="A107" s="743">
        <v>0.22500000000000001</v>
      </c>
      <c r="B107" s="743">
        <v>0.22500000000000001</v>
      </c>
      <c r="C107" s="743">
        <v>0.22500000000000001</v>
      </c>
      <c r="D107" s="743">
        <v>0.22500000000000001</v>
      </c>
      <c r="E107" s="743">
        <v>0.22500000000000001</v>
      </c>
      <c r="F107" s="743">
        <v>0.22500000000000001</v>
      </c>
      <c r="G107" s="743">
        <v>0.22500000000000001</v>
      </c>
      <c r="H107" s="743">
        <v>0.22500000000000001</v>
      </c>
      <c r="I107" s="743">
        <v>0.22500000000000001</v>
      </c>
      <c r="J107" s="743">
        <v>0.22500000000000001</v>
      </c>
      <c r="K107" s="743">
        <v>0.22500000000000001</v>
      </c>
      <c r="L107" s="743">
        <v>0.22500000000000001</v>
      </c>
      <c r="M107" s="743">
        <v>0.22500000000000001</v>
      </c>
      <c r="N107" s="649"/>
    </row>
    <row r="108" spans="1:16" ht="13.5" thickBot="1" x14ac:dyDescent="0.25">
      <c r="A108" s="737">
        <f t="shared" ref="A108:M108" si="27">A106*A107</f>
        <v>70074486.450000003</v>
      </c>
      <c r="B108" s="737">
        <f t="shared" si="27"/>
        <v>4082302.125</v>
      </c>
      <c r="C108" s="737">
        <f t="shared" si="27"/>
        <v>4618402.6500000004</v>
      </c>
      <c r="D108" s="737">
        <f t="shared" si="27"/>
        <v>6134044.0499999998</v>
      </c>
      <c r="E108" s="737">
        <f t="shared" si="27"/>
        <v>6108140.4750000006</v>
      </c>
      <c r="F108" s="737">
        <f t="shared" si="27"/>
        <v>6081798.8250000002</v>
      </c>
      <c r="G108" s="737">
        <f t="shared" si="27"/>
        <v>5994400.0499999998</v>
      </c>
      <c r="H108" s="737">
        <f t="shared" si="27"/>
        <v>5223147.9750000006</v>
      </c>
      <c r="I108" s="737">
        <f t="shared" si="27"/>
        <v>6046672.2750000004</v>
      </c>
      <c r="J108" s="737">
        <f t="shared" si="27"/>
        <v>5282614.5750000002</v>
      </c>
      <c r="K108" s="737">
        <f t="shared" si="27"/>
        <v>7732717.6500000004</v>
      </c>
      <c r="L108" s="737">
        <f t="shared" si="27"/>
        <v>6783052.7250000006</v>
      </c>
      <c r="M108" s="912">
        <f t="shared" si="27"/>
        <v>5987193.0750000002</v>
      </c>
      <c r="N108" s="771">
        <f t="shared" ref="N108" si="28">SUM(B108:M108)</f>
        <v>70074486.450000003</v>
      </c>
      <c r="P108" s="771">
        <f>N12+N19+N33+N42+N51+N60+N69+N78+N88+N98+N108</f>
        <v>2548263690.1500006</v>
      </c>
    </row>
    <row r="109" spans="1:16" ht="13.5" thickBot="1" x14ac:dyDescent="0.25">
      <c r="A109" s="749" t="s">
        <v>500</v>
      </c>
    </row>
    <row r="113" spans="1:13" x14ac:dyDescent="0.2">
      <c r="A113" s="649">
        <f>A10+A19+A31+A40+A49+A58+A67+A76+A86+A96+A106</f>
        <v>9496198965</v>
      </c>
      <c r="B113" s="649">
        <f t="shared" ref="B113:M113" si="29">B10+B19+B31+B40+B49+B58+B67+B76+B86+B96+B106</f>
        <v>767569503</v>
      </c>
      <c r="C113" s="649">
        <f t="shared" si="29"/>
        <v>1015393500</v>
      </c>
      <c r="D113" s="649">
        <f t="shared" si="29"/>
        <v>710773867</v>
      </c>
      <c r="E113" s="649">
        <f t="shared" si="29"/>
        <v>1005941489</v>
      </c>
      <c r="F113" s="649">
        <f t="shared" si="29"/>
        <v>709917717</v>
      </c>
      <c r="G113" s="649">
        <f t="shared" si="29"/>
        <v>710136305</v>
      </c>
      <c r="H113" s="649">
        <f t="shared" si="29"/>
        <v>778087173</v>
      </c>
      <c r="I113" s="649">
        <f t="shared" si="29"/>
        <v>791816155</v>
      </c>
      <c r="J113" s="649">
        <f t="shared" si="29"/>
        <v>759474250</v>
      </c>
      <c r="K113" s="649">
        <f t="shared" si="29"/>
        <v>775958435</v>
      </c>
      <c r="L113" s="649">
        <f t="shared" si="29"/>
        <v>742828045</v>
      </c>
      <c r="M113" s="649">
        <f t="shared" si="29"/>
        <v>728302526</v>
      </c>
    </row>
    <row r="114" spans="1:13" x14ac:dyDescent="0.2">
      <c r="A114" s="649">
        <f>SUM(B113:M113)</f>
        <v>9496198965</v>
      </c>
    </row>
    <row r="116" spans="1:13" x14ac:dyDescent="0.2">
      <c r="A116" s="649">
        <f>A12+A19+A33+A42+A51+A60+A69+A78+A88+A98+A108</f>
        <v>2548263690.1500006</v>
      </c>
      <c r="B116" s="649">
        <f t="shared" ref="B116:M116" si="30">B12+B19+B33+B42+B51+B60+B69+B78+B88+B98+B108</f>
        <v>205030011.80000004</v>
      </c>
      <c r="C116" s="649">
        <f t="shared" si="30"/>
        <v>275144729.39999998</v>
      </c>
      <c r="D116" s="649">
        <f t="shared" si="30"/>
        <v>190380217.32500002</v>
      </c>
      <c r="E116" s="649">
        <f t="shared" si="30"/>
        <v>271599842.02500004</v>
      </c>
      <c r="F116" s="649">
        <f t="shared" si="30"/>
        <v>190323153.54999998</v>
      </c>
      <c r="G116" s="649">
        <f t="shared" si="30"/>
        <v>190681791.80000001</v>
      </c>
      <c r="H116" s="649">
        <f t="shared" si="30"/>
        <v>208183665.125</v>
      </c>
      <c r="I116" s="649">
        <f t="shared" si="30"/>
        <v>212432014</v>
      </c>
      <c r="J116" s="649">
        <f t="shared" si="30"/>
        <v>203437849.67499995</v>
      </c>
      <c r="K116" s="649">
        <f t="shared" si="30"/>
        <v>207489101.05000001</v>
      </c>
      <c r="L116" s="649">
        <f t="shared" si="30"/>
        <v>198207552.77500001</v>
      </c>
      <c r="M116" s="649">
        <f t="shared" si="30"/>
        <v>195353761.625</v>
      </c>
    </row>
    <row r="117" spans="1:13" x14ac:dyDescent="0.2">
      <c r="A117" s="640">
        <v>275915905</v>
      </c>
    </row>
    <row r="118" spans="1:13" x14ac:dyDescent="0.2">
      <c r="A118" s="649">
        <f>A116-A117</f>
        <v>2272347785.1500006</v>
      </c>
    </row>
  </sheetData>
  <mergeCells count="28">
    <mergeCell ref="A8:M8"/>
    <mergeCell ref="A1:M1"/>
    <mergeCell ref="A2:M2"/>
    <mergeCell ref="A3:M3"/>
    <mergeCell ref="A4:M4"/>
    <mergeCell ref="A5:M5"/>
    <mergeCell ref="A63:M63"/>
    <mergeCell ref="A14:M14"/>
    <mergeCell ref="A15:M15"/>
    <mergeCell ref="A26:M26"/>
    <mergeCell ref="A27:M27"/>
    <mergeCell ref="A35:M35"/>
    <mergeCell ref="A36:M36"/>
    <mergeCell ref="A44:M44"/>
    <mergeCell ref="A45:M45"/>
    <mergeCell ref="A53:M53"/>
    <mergeCell ref="A54:M54"/>
    <mergeCell ref="A62:M62"/>
    <mergeCell ref="A92:M92"/>
    <mergeCell ref="A93:M93"/>
    <mergeCell ref="A102:M102"/>
    <mergeCell ref="A103:M103"/>
    <mergeCell ref="A71:M71"/>
    <mergeCell ref="A72:M72"/>
    <mergeCell ref="A80:M80"/>
    <mergeCell ref="A81:M81"/>
    <mergeCell ref="A82:M82"/>
    <mergeCell ref="A83:M83"/>
  </mergeCells>
  <printOptions horizontalCentered="1"/>
  <pageMargins left="0.78740157480314965" right="0.78740157480314965" top="0.98425196850393704" bottom="0.98425196850393704" header="0" footer="0"/>
  <pageSetup paperSize="5" scale="85" orientation="landscape"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tabColor theme="3" tint="0.79998168889431442"/>
    <pageSetUpPr fitToPage="1"/>
  </sheetPr>
  <dimension ref="B2:N56"/>
  <sheetViews>
    <sheetView zoomScaleNormal="100" workbookViewId="0">
      <selection activeCell="K21" sqref="K21"/>
    </sheetView>
  </sheetViews>
  <sheetFormatPr baseColWidth="10" defaultRowHeight="15" x14ac:dyDescent="0.25"/>
  <cols>
    <col min="1" max="1" width="3.5703125" customWidth="1"/>
    <col min="2" max="2" width="24.28515625" customWidth="1"/>
    <col min="3" max="3" width="15.85546875" customWidth="1"/>
    <col min="4" max="4" width="13.42578125" customWidth="1"/>
    <col min="5" max="6" width="15.7109375" customWidth="1"/>
    <col min="7" max="7" width="17.85546875" customWidth="1"/>
    <col min="8" max="8" width="19.28515625" customWidth="1"/>
    <col min="9" max="9" width="15.42578125" customWidth="1"/>
    <col min="10" max="11" width="12.42578125" bestFit="1" customWidth="1"/>
  </cols>
  <sheetData>
    <row r="2" spans="2:9" x14ac:dyDescent="0.25">
      <c r="B2" s="8"/>
      <c r="C2" s="8"/>
      <c r="D2" s="8"/>
      <c r="F2" s="252"/>
      <c r="G2" s="252" t="s">
        <v>212</v>
      </c>
    </row>
    <row r="3" spans="2:9" x14ac:dyDescent="0.25">
      <c r="B3" s="980" t="s">
        <v>0</v>
      </c>
      <c r="C3" s="980"/>
      <c r="D3" s="980"/>
      <c r="E3" s="980"/>
      <c r="F3" s="980"/>
      <c r="G3" s="980"/>
    </row>
    <row r="4" spans="2:9" x14ac:dyDescent="0.25">
      <c r="B4" s="1267" t="s">
        <v>213</v>
      </c>
      <c r="C4" s="1267"/>
      <c r="D4" s="1267"/>
      <c r="E4" s="1267"/>
      <c r="F4" s="1267"/>
      <c r="G4" s="1267"/>
      <c r="H4" s="272"/>
      <c r="I4" s="272"/>
    </row>
    <row r="5" spans="2:9" ht="15" customHeight="1" x14ac:dyDescent="0.25">
      <c r="B5" s="1268" t="s">
        <v>83</v>
      </c>
      <c r="C5" s="1271" t="s">
        <v>25</v>
      </c>
      <c r="D5" s="105"/>
      <c r="E5" s="1268" t="s">
        <v>26</v>
      </c>
      <c r="F5" s="273"/>
      <c r="G5" s="1268" t="s">
        <v>27</v>
      </c>
    </row>
    <row r="6" spans="2:9" ht="28.5" customHeight="1" x14ac:dyDescent="0.25">
      <c r="B6" s="1269"/>
      <c r="C6" s="1272"/>
      <c r="D6" s="22"/>
      <c r="E6" s="1269"/>
      <c r="F6" s="274"/>
      <c r="G6" s="1269"/>
    </row>
    <row r="7" spans="2:9" x14ac:dyDescent="0.25">
      <c r="B7" s="1269"/>
      <c r="C7" s="22" t="s">
        <v>214</v>
      </c>
      <c r="D7" s="22"/>
      <c r="E7" s="268"/>
      <c r="F7" s="268"/>
      <c r="G7" s="22" t="s">
        <v>41</v>
      </c>
    </row>
    <row r="8" spans="2:9" x14ac:dyDescent="0.25">
      <c r="B8" s="1270"/>
      <c r="C8" s="140" t="s">
        <v>70</v>
      </c>
      <c r="D8" s="140"/>
      <c r="E8" s="275" t="s">
        <v>215</v>
      </c>
      <c r="F8" s="268"/>
      <c r="G8" s="140" t="s">
        <v>216</v>
      </c>
    </row>
    <row r="9" spans="2:9" x14ac:dyDescent="0.25">
      <c r="B9" s="803" t="s">
        <v>45</v>
      </c>
      <c r="C9" s="804">
        <f>K36/H36</f>
        <v>0.92094678288774356</v>
      </c>
      <c r="D9" s="805"/>
      <c r="E9" s="806">
        <f>C9/C$29%</f>
        <v>4.5362651544424901</v>
      </c>
      <c r="F9" s="806">
        <f>E9*0.3</f>
        <v>1.360879546332747</v>
      </c>
      <c r="G9" s="807">
        <f>Datos!$I$16*'FGP 30%'!E9%</f>
        <v>7792785.8061734168</v>
      </c>
      <c r="H9" s="276"/>
      <c r="I9" s="277"/>
    </row>
    <row r="10" spans="2:9" x14ac:dyDescent="0.25">
      <c r="B10" s="808" t="s">
        <v>46</v>
      </c>
      <c r="C10" s="809">
        <f t="shared" ref="C10:C28" si="0">K37/H37</f>
        <v>1.0795381361166629</v>
      </c>
      <c r="D10" s="810"/>
      <c r="E10" s="811">
        <f t="shared" ref="E10:E28" si="1">C10/C$29%</f>
        <v>5.3174312791477849</v>
      </c>
      <c r="F10" s="811">
        <f t="shared" ref="F10:F28" si="2">E10*0.3</f>
        <v>1.5952293837443354</v>
      </c>
      <c r="G10" s="409">
        <f>Datos!$I$16*'FGP 30%'!E10%</f>
        <v>9134740.0530289598</v>
      </c>
      <c r="H10" s="276"/>
      <c r="I10" s="277"/>
    </row>
    <row r="11" spans="2:9" x14ac:dyDescent="0.25">
      <c r="B11" s="808" t="s">
        <v>47</v>
      </c>
      <c r="C11" s="809">
        <f t="shared" si="0"/>
        <v>1.1054529526649703</v>
      </c>
      <c r="D11" s="810"/>
      <c r="E11" s="811">
        <f t="shared" si="1"/>
        <v>5.4450786975178715</v>
      </c>
      <c r="F11" s="811">
        <f t="shared" si="2"/>
        <v>1.6335236092553613</v>
      </c>
      <c r="G11" s="409">
        <f>Datos!$I$16*'FGP 30%'!E11%</f>
        <v>9354023.7492421158</v>
      </c>
      <c r="H11" s="276"/>
      <c r="I11" s="277"/>
    </row>
    <row r="12" spans="2:9" x14ac:dyDescent="0.25">
      <c r="B12" s="808" t="s">
        <v>48</v>
      </c>
      <c r="C12" s="809">
        <f t="shared" si="0"/>
        <v>0.92888897713256324</v>
      </c>
      <c r="D12" s="810"/>
      <c r="E12" s="811">
        <f t="shared" si="1"/>
        <v>4.5753856548579641</v>
      </c>
      <c r="F12" s="811">
        <f t="shared" si="2"/>
        <v>1.3726156964573892</v>
      </c>
      <c r="G12" s="409">
        <f>Datos!$I$16*'FGP 30%'!E12%</f>
        <v>7859990.3610195015</v>
      </c>
      <c r="H12" s="276"/>
      <c r="I12" s="278"/>
    </row>
    <row r="13" spans="2:9" x14ac:dyDescent="0.25">
      <c r="B13" s="808" t="s">
        <v>49</v>
      </c>
      <c r="C13" s="809">
        <f t="shared" si="0"/>
        <v>0.55453521158210639</v>
      </c>
      <c r="D13" s="810"/>
      <c r="E13" s="811">
        <f t="shared" si="1"/>
        <v>2.7314485526770396</v>
      </c>
      <c r="F13" s="811">
        <f t="shared" si="2"/>
        <v>0.8194345658031118</v>
      </c>
      <c r="G13" s="409">
        <f>Datos!$I$16*'FGP 30%'!E13%</f>
        <v>4692316.8701346712</v>
      </c>
      <c r="H13" s="276"/>
      <c r="I13" s="278"/>
    </row>
    <row r="14" spans="2:9" x14ac:dyDescent="0.25">
      <c r="B14" s="808" t="s">
        <v>50</v>
      </c>
      <c r="C14" s="809">
        <f t="shared" si="0"/>
        <v>1.2719327089321892</v>
      </c>
      <c r="D14" s="810"/>
      <c r="E14" s="811">
        <f t="shared" si="1"/>
        <v>6.2651003657700279</v>
      </c>
      <c r="F14" s="811">
        <f t="shared" si="2"/>
        <v>1.8795301097310082</v>
      </c>
      <c r="G14" s="409">
        <f>Datos!$I$16*'FGP 30%'!E14%</f>
        <v>10762727.385283299</v>
      </c>
      <c r="H14" s="276"/>
      <c r="I14" s="277"/>
    </row>
    <row r="15" spans="2:9" x14ac:dyDescent="0.25">
      <c r="B15" s="808" t="s">
        <v>51</v>
      </c>
      <c r="C15" s="809">
        <f t="shared" si="0"/>
        <v>1.2522418485082796</v>
      </c>
      <c r="D15" s="810"/>
      <c r="E15" s="811">
        <f t="shared" si="1"/>
        <v>6.1681100014387802</v>
      </c>
      <c r="F15" s="811">
        <f t="shared" si="2"/>
        <v>1.8504330004316341</v>
      </c>
      <c r="G15" s="409">
        <f>Datos!$I$16*'FGP 30%'!E15%</f>
        <v>10596109.008984035</v>
      </c>
      <c r="H15" s="276"/>
      <c r="I15" s="277"/>
    </row>
    <row r="16" spans="2:9" x14ac:dyDescent="0.25">
      <c r="B16" s="808" t="s">
        <v>52</v>
      </c>
      <c r="C16" s="809">
        <f t="shared" si="0"/>
        <v>1.0808377003002005</v>
      </c>
      <c r="D16" s="810"/>
      <c r="E16" s="811">
        <f t="shared" si="1"/>
        <v>5.3238324825954573</v>
      </c>
      <c r="F16" s="811">
        <f t="shared" si="2"/>
        <v>1.5971497447786371</v>
      </c>
      <c r="G16" s="409">
        <f>Datos!$I$16*'FGP 30%'!E16%</f>
        <v>9145736.5899753515</v>
      </c>
      <c r="H16" s="276"/>
      <c r="I16" s="277"/>
    </row>
    <row r="17" spans="2:9" x14ac:dyDescent="0.25">
      <c r="B17" s="808" t="s">
        <v>53</v>
      </c>
      <c r="C17" s="809">
        <f t="shared" si="0"/>
        <v>0.88111536410654157</v>
      </c>
      <c r="D17" s="810"/>
      <c r="E17" s="811">
        <f t="shared" si="1"/>
        <v>4.3400693693802852</v>
      </c>
      <c r="F17" s="811">
        <f t="shared" si="2"/>
        <v>1.3020208108140856</v>
      </c>
      <c r="G17" s="409">
        <f>Datos!$I$16*'FGP 30%'!E17%</f>
        <v>7455743.8394871242</v>
      </c>
      <c r="H17" s="276"/>
      <c r="I17" s="277"/>
    </row>
    <row r="18" spans="2:9" x14ac:dyDescent="0.25">
      <c r="B18" s="808" t="s">
        <v>54</v>
      </c>
      <c r="C18" s="809">
        <f t="shared" si="0"/>
        <v>1.2342461163352749</v>
      </c>
      <c r="D18" s="810"/>
      <c r="E18" s="811">
        <f t="shared" si="1"/>
        <v>6.0794692522642091</v>
      </c>
      <c r="F18" s="811">
        <f t="shared" si="2"/>
        <v>1.8238407756792627</v>
      </c>
      <c r="G18" s="409">
        <f>Datos!$I$16*'FGP 30%'!E18%</f>
        <v>10443834.318572761</v>
      </c>
      <c r="H18" s="276"/>
      <c r="I18" s="277"/>
    </row>
    <row r="19" spans="2:9" x14ac:dyDescent="0.25">
      <c r="B19" s="808" t="s">
        <v>55</v>
      </c>
      <c r="C19" s="809">
        <f t="shared" si="0"/>
        <v>0.95089515121140411</v>
      </c>
      <c r="D19" s="810"/>
      <c r="E19" s="811">
        <f t="shared" si="1"/>
        <v>4.6837804530279792</v>
      </c>
      <c r="F19" s="811">
        <f t="shared" si="2"/>
        <v>1.4051341359083938</v>
      </c>
      <c r="G19" s="409">
        <f>Datos!$I$16*'FGP 30%'!E19%</f>
        <v>8046200.2530526174</v>
      </c>
      <c r="H19" s="276"/>
      <c r="I19" s="277"/>
    </row>
    <row r="20" spans="2:9" x14ac:dyDescent="0.25">
      <c r="B20" s="808" t="s">
        <v>56</v>
      </c>
      <c r="C20" s="809">
        <f t="shared" si="0"/>
        <v>0.982033869491724</v>
      </c>
      <c r="D20" s="810"/>
      <c r="E20" s="811">
        <f t="shared" si="1"/>
        <v>4.8371590035736451</v>
      </c>
      <c r="F20" s="811">
        <f t="shared" si="2"/>
        <v>1.4511477010720935</v>
      </c>
      <c r="G20" s="409">
        <f>Datos!$I$16*'FGP 30%'!E20%</f>
        <v>8309687.0976197133</v>
      </c>
      <c r="H20" s="276"/>
      <c r="I20" s="277"/>
    </row>
    <row r="21" spans="2:9" x14ac:dyDescent="0.25">
      <c r="B21" s="808" t="s">
        <v>57</v>
      </c>
      <c r="C21" s="809">
        <f t="shared" si="0"/>
        <v>0.96760974283824297</v>
      </c>
      <c r="D21" s="810"/>
      <c r="E21" s="811">
        <f t="shared" si="1"/>
        <v>4.7661107472169837</v>
      </c>
      <c r="F21" s="811">
        <f t="shared" si="2"/>
        <v>1.4298332241650951</v>
      </c>
      <c r="G21" s="409">
        <f>Datos!$I$16*'FGP 30%'!E21%</f>
        <v>8187634.3020181721</v>
      </c>
      <c r="H21" s="276"/>
      <c r="I21" s="278"/>
    </row>
    <row r="22" spans="2:9" x14ac:dyDescent="0.25">
      <c r="B22" s="808" t="s">
        <v>58</v>
      </c>
      <c r="C22" s="809">
        <f t="shared" si="0"/>
        <v>0.88502904777319558</v>
      </c>
      <c r="D22" s="810"/>
      <c r="E22" s="811">
        <f t="shared" si="1"/>
        <v>4.3593468207731716</v>
      </c>
      <c r="F22" s="811">
        <f t="shared" si="2"/>
        <v>1.3078040462319513</v>
      </c>
      <c r="G22" s="409">
        <f>Datos!$I$16*'FGP 30%'!E22%</f>
        <v>7488860.3008224061</v>
      </c>
      <c r="H22" s="276"/>
      <c r="I22" s="277"/>
    </row>
    <row r="23" spans="2:9" x14ac:dyDescent="0.25">
      <c r="B23" s="808" t="s">
        <v>59</v>
      </c>
      <c r="C23" s="809">
        <f t="shared" si="0"/>
        <v>1.1637761653651788</v>
      </c>
      <c r="D23" s="810"/>
      <c r="E23" s="811">
        <f t="shared" si="1"/>
        <v>5.7323586602508998</v>
      </c>
      <c r="F23" s="811">
        <f t="shared" si="2"/>
        <v>1.7197075980752698</v>
      </c>
      <c r="G23" s="409">
        <f>Datos!$I$16*'FGP 30%'!E23%</f>
        <v>9847537.9376249406</v>
      </c>
      <c r="H23" s="276"/>
      <c r="I23" s="277"/>
    </row>
    <row r="24" spans="2:9" x14ac:dyDescent="0.25">
      <c r="B24" s="808" t="s">
        <v>60</v>
      </c>
      <c r="C24" s="809">
        <f t="shared" si="0"/>
        <v>0.92925435246545796</v>
      </c>
      <c r="D24" s="810"/>
      <c r="E24" s="811">
        <f t="shared" si="1"/>
        <v>4.5771853673079121</v>
      </c>
      <c r="F24" s="811">
        <f t="shared" si="2"/>
        <v>1.3731556101923736</v>
      </c>
      <c r="G24" s="409">
        <f>Datos!$I$16*'FGP 30%'!E24%</f>
        <v>7863082.0616052598</v>
      </c>
      <c r="H24" s="276"/>
      <c r="I24" s="278"/>
    </row>
    <row r="25" spans="2:9" x14ac:dyDescent="0.25">
      <c r="B25" s="808" t="s">
        <v>61</v>
      </c>
      <c r="C25" s="809">
        <f t="shared" si="0"/>
        <v>1.0595692826606089</v>
      </c>
      <c r="D25" s="810"/>
      <c r="E25" s="811">
        <f t="shared" si="1"/>
        <v>5.2190716173410205</v>
      </c>
      <c r="F25" s="811">
        <f t="shared" si="2"/>
        <v>1.565721485202306</v>
      </c>
      <c r="G25" s="409">
        <f>Datos!$I$16*'FGP 30%'!E25%</f>
        <v>8965769.3799462561</v>
      </c>
      <c r="H25" s="276"/>
      <c r="I25" s="277"/>
    </row>
    <row r="26" spans="2:9" x14ac:dyDescent="0.25">
      <c r="B26" s="808" t="s">
        <v>62</v>
      </c>
      <c r="C26" s="809">
        <f t="shared" si="0"/>
        <v>0.92360641712752511</v>
      </c>
      <c r="D26" s="810"/>
      <c r="E26" s="811">
        <f t="shared" si="1"/>
        <v>4.5493655923284368</v>
      </c>
      <c r="F26" s="811">
        <f t="shared" si="2"/>
        <v>1.364809677698531</v>
      </c>
      <c r="G26" s="409">
        <f>Datos!$I$16*'FGP 30%'!E26%</f>
        <v>7815290.8632934326</v>
      </c>
      <c r="H26" s="276"/>
      <c r="I26" s="278"/>
    </row>
    <row r="27" spans="2:9" x14ac:dyDescent="0.25">
      <c r="B27" s="808" t="s">
        <v>63</v>
      </c>
      <c r="C27" s="809">
        <f t="shared" si="0"/>
        <v>1.2521455209812973</v>
      </c>
      <c r="D27" s="810"/>
      <c r="E27" s="811">
        <f t="shared" si="1"/>
        <v>6.16763552537547</v>
      </c>
      <c r="F27" s="811">
        <f t="shared" si="2"/>
        <v>1.850290657612641</v>
      </c>
      <c r="G27" s="409">
        <f>Datos!$I$16*'FGP 30%'!E27%</f>
        <v>10595293.913259767</v>
      </c>
      <c r="H27" s="276"/>
      <c r="I27" s="277"/>
    </row>
    <row r="28" spans="2:9" x14ac:dyDescent="0.25">
      <c r="B28" s="812" t="s">
        <v>64</v>
      </c>
      <c r="C28" s="813">
        <f t="shared" si="0"/>
        <v>0.87821748154586321</v>
      </c>
      <c r="D28" s="814"/>
      <c r="E28" s="815">
        <f t="shared" si="1"/>
        <v>4.3257954027125782</v>
      </c>
      <c r="F28" s="815">
        <f t="shared" si="2"/>
        <v>1.2977386208137733</v>
      </c>
      <c r="G28" s="816">
        <f>Datos!$I$16*'FGP 30%'!E28%</f>
        <v>7431222.7938562343</v>
      </c>
      <c r="H28" s="279"/>
      <c r="I28" s="277"/>
    </row>
    <row r="29" spans="2:9" x14ac:dyDescent="0.25">
      <c r="B29" s="146" t="s">
        <v>65</v>
      </c>
      <c r="C29" s="280">
        <f t="shared" ref="C29:E29" si="3">SUM(C9:C28)</f>
        <v>20.30187283002703</v>
      </c>
      <c r="D29" s="281"/>
      <c r="E29" s="282">
        <f t="shared" si="3"/>
        <v>100.00000000000001</v>
      </c>
      <c r="F29" s="283">
        <f>SUM(F9:F28)</f>
        <v>30.000000000000007</v>
      </c>
      <c r="G29" s="284">
        <f>SUM(G9:G28)</f>
        <v>171788586.88500005</v>
      </c>
    </row>
    <row r="30" spans="2:9" x14ac:dyDescent="0.25">
      <c r="B30" s="8"/>
      <c r="C30" s="8"/>
      <c r="D30" s="8"/>
    </row>
    <row r="31" spans="2:9" x14ac:dyDescent="0.25">
      <c r="B31" s="8" t="s">
        <v>196</v>
      </c>
      <c r="C31" s="8"/>
      <c r="D31" s="8"/>
    </row>
    <row r="33" spans="2:14" ht="15.75" thickBot="1" x14ac:dyDescent="0.3"/>
    <row r="34" spans="2:14" x14ac:dyDescent="0.25">
      <c r="B34" s="1169" t="s">
        <v>13</v>
      </c>
      <c r="C34" s="256"/>
      <c r="D34" s="255"/>
      <c r="E34" s="255"/>
      <c r="F34" s="1231">
        <v>2019</v>
      </c>
      <c r="G34" s="1232"/>
      <c r="H34" s="1233"/>
      <c r="I34" s="1231">
        <v>2020</v>
      </c>
      <c r="J34" s="1232"/>
      <c r="K34" s="1234"/>
      <c r="L34" s="76"/>
      <c r="M34" s="76"/>
      <c r="N34" s="76"/>
    </row>
    <row r="35" spans="2:14" ht="15.75" thickBot="1" x14ac:dyDescent="0.3">
      <c r="B35" s="1169"/>
      <c r="C35" s="253"/>
      <c r="D35" s="253"/>
      <c r="E35" s="253"/>
      <c r="F35" s="191" t="s">
        <v>261</v>
      </c>
      <c r="G35" s="187" t="s">
        <v>269</v>
      </c>
      <c r="H35" s="187" t="s">
        <v>82</v>
      </c>
      <c r="I35" s="191" t="s">
        <v>261</v>
      </c>
      <c r="J35" s="187" t="s">
        <v>269</v>
      </c>
      <c r="K35" s="458" t="s">
        <v>82</v>
      </c>
      <c r="L35" s="76"/>
      <c r="M35" s="76"/>
      <c r="N35" s="76"/>
    </row>
    <row r="36" spans="2:14" x14ac:dyDescent="0.25">
      <c r="B36" s="49" t="s">
        <v>146</v>
      </c>
      <c r="C36" s="246"/>
      <c r="D36" s="49"/>
      <c r="E36" s="51"/>
      <c r="F36" s="797">
        <f>'Predial y Agua'!B9</f>
        <v>3943293</v>
      </c>
      <c r="G36" s="791">
        <f>'Predial y Agua'!C9</f>
        <v>7394639</v>
      </c>
      <c r="H36" s="792">
        <f t="shared" ref="H36:H55" si="4">F36+G36</f>
        <v>11337932</v>
      </c>
      <c r="I36" s="797">
        <f>'Predial y Agua'!E9</f>
        <v>3500020</v>
      </c>
      <c r="J36" s="791">
        <f>'Predial y Agua'!F9</f>
        <v>6941612</v>
      </c>
      <c r="K36" s="792">
        <f t="shared" ref="K36:K55" si="5">I36+J36</f>
        <v>10441632</v>
      </c>
    </row>
    <row r="37" spans="2:14" x14ac:dyDescent="0.25">
      <c r="B37" s="49" t="s">
        <v>147</v>
      </c>
      <c r="C37" s="246"/>
      <c r="D37" s="49"/>
      <c r="E37" s="51"/>
      <c r="F37" s="798">
        <f>'Predial y Agua'!B10</f>
        <v>2484812</v>
      </c>
      <c r="G37" s="553">
        <f>'Predial y Agua'!C10</f>
        <v>1991745</v>
      </c>
      <c r="H37" s="793">
        <f t="shared" si="4"/>
        <v>4476557</v>
      </c>
      <c r="I37" s="798">
        <f>'Predial y Agua'!E10</f>
        <v>2231357</v>
      </c>
      <c r="J37" s="553">
        <f>'Predial y Agua'!F10</f>
        <v>2601257</v>
      </c>
      <c r="K37" s="793">
        <f t="shared" si="5"/>
        <v>4832614</v>
      </c>
    </row>
    <row r="38" spans="2:14" x14ac:dyDescent="0.25">
      <c r="B38" s="49" t="s">
        <v>148</v>
      </c>
      <c r="C38" s="246"/>
      <c r="D38" s="49"/>
      <c r="E38" s="51"/>
      <c r="F38" s="798">
        <f>'Predial y Agua'!B11</f>
        <v>1759056</v>
      </c>
      <c r="G38" s="553">
        <f>'Predial y Agua'!C11</f>
        <v>1291053</v>
      </c>
      <c r="H38" s="793">
        <f t="shared" si="4"/>
        <v>3050109</v>
      </c>
      <c r="I38" s="798">
        <f>'Predial y Agua'!E11</f>
        <v>1912426</v>
      </c>
      <c r="J38" s="553">
        <f>'Predial y Agua'!F11</f>
        <v>1459326</v>
      </c>
      <c r="K38" s="793">
        <f t="shared" si="5"/>
        <v>3371752</v>
      </c>
    </row>
    <row r="39" spans="2:14" x14ac:dyDescent="0.25">
      <c r="B39" s="49" t="s">
        <v>149</v>
      </c>
      <c r="C39" s="246"/>
      <c r="D39" s="49"/>
      <c r="E39" s="51"/>
      <c r="F39" s="798">
        <f>'Predial y Agua'!B12</f>
        <v>189694088</v>
      </c>
      <c r="G39" s="553">
        <f>'Predial y Agua'!C12</f>
        <v>133955173</v>
      </c>
      <c r="H39" s="793">
        <f t="shared" si="4"/>
        <v>323649261</v>
      </c>
      <c r="I39" s="798">
        <f>'Predial y Agua'!E12</f>
        <v>169582223</v>
      </c>
      <c r="J39" s="553">
        <f>'Predial y Agua'!F12</f>
        <v>131052008</v>
      </c>
      <c r="K39" s="793">
        <f t="shared" si="5"/>
        <v>300634231</v>
      </c>
    </row>
    <row r="40" spans="2:14" x14ac:dyDescent="0.25">
      <c r="B40" s="49" t="s">
        <v>150</v>
      </c>
      <c r="C40" s="246"/>
      <c r="D40" s="49"/>
      <c r="E40" s="51"/>
      <c r="F40" s="798">
        <f>'Predial y Agua'!B13</f>
        <v>49961238</v>
      </c>
      <c r="G40" s="553">
        <f>'Predial y Agua'!C13</f>
        <v>10048917</v>
      </c>
      <c r="H40" s="793">
        <f t="shared" si="4"/>
        <v>60010155</v>
      </c>
      <c r="I40" s="798">
        <f>'Predial y Agua'!E13</f>
        <v>21796786</v>
      </c>
      <c r="J40" s="553">
        <f>'Predial y Agua'!F13</f>
        <v>11480958</v>
      </c>
      <c r="K40" s="793">
        <f t="shared" si="5"/>
        <v>33277744</v>
      </c>
    </row>
    <row r="41" spans="2:14" x14ac:dyDescent="0.25">
      <c r="B41" s="49" t="s">
        <v>151</v>
      </c>
      <c r="C41" s="246"/>
      <c r="D41" s="49"/>
      <c r="E41" s="51"/>
      <c r="F41" s="798">
        <f>'Predial y Agua'!B14</f>
        <v>38654</v>
      </c>
      <c r="G41" s="553">
        <f>'Predial y Agua'!C14</f>
        <v>55623</v>
      </c>
      <c r="H41" s="793">
        <f t="shared" si="4"/>
        <v>94277</v>
      </c>
      <c r="I41" s="798">
        <f>'Predial y Agua'!E14</f>
        <v>20358</v>
      </c>
      <c r="J41" s="553">
        <f>'Predial y Agua'!F14</f>
        <v>99556</v>
      </c>
      <c r="K41" s="793">
        <f t="shared" si="5"/>
        <v>119914</v>
      </c>
    </row>
    <row r="42" spans="2:14" x14ac:dyDescent="0.25">
      <c r="B42" s="49" t="s">
        <v>152</v>
      </c>
      <c r="C42" s="246"/>
      <c r="D42" s="49"/>
      <c r="E42" s="51"/>
      <c r="F42" s="798">
        <f>'Predial y Agua'!B15</f>
        <v>12474</v>
      </c>
      <c r="G42" s="553">
        <f>'Predial y Agua'!C15</f>
        <v>87109</v>
      </c>
      <c r="H42" s="793">
        <f t="shared" si="4"/>
        <v>99583</v>
      </c>
      <c r="I42" s="798">
        <f>'Predial y Agua'!E15</f>
        <v>17488</v>
      </c>
      <c r="J42" s="553">
        <f>'Predial y Agua'!F15</f>
        <v>107214</v>
      </c>
      <c r="K42" s="793">
        <f t="shared" si="5"/>
        <v>124702</v>
      </c>
    </row>
    <row r="43" spans="2:14" x14ac:dyDescent="0.25">
      <c r="B43" s="49" t="s">
        <v>153</v>
      </c>
      <c r="C43" s="246"/>
      <c r="D43" s="49"/>
      <c r="E43" s="51"/>
      <c r="F43" s="798">
        <f>'Predial y Agua'!B16</f>
        <v>4907652</v>
      </c>
      <c r="G43" s="553">
        <f>'Predial y Agua'!C16</f>
        <v>6976073</v>
      </c>
      <c r="H43" s="793">
        <f t="shared" si="4"/>
        <v>11883725</v>
      </c>
      <c r="I43" s="798">
        <f>'Predial y Agua'!E16</f>
        <v>5542908</v>
      </c>
      <c r="J43" s="553">
        <f>'Predial y Agua'!F16</f>
        <v>7301470</v>
      </c>
      <c r="K43" s="793">
        <f t="shared" si="5"/>
        <v>12844378</v>
      </c>
    </row>
    <row r="44" spans="2:14" x14ac:dyDescent="0.25">
      <c r="B44" s="49" t="s">
        <v>154</v>
      </c>
      <c r="C44" s="246"/>
      <c r="D44" s="49"/>
      <c r="E44" s="51"/>
      <c r="F44" s="798">
        <f>'Predial y Agua'!B17</f>
        <v>1978012</v>
      </c>
      <c r="G44" s="553">
        <f>'Predial y Agua'!C17</f>
        <v>2312820</v>
      </c>
      <c r="H44" s="793">
        <f t="shared" si="4"/>
        <v>4290832</v>
      </c>
      <c r="I44" s="798">
        <f>'Predial y Agua'!E17</f>
        <v>1764752</v>
      </c>
      <c r="J44" s="553">
        <f>'Predial y Agua'!F17</f>
        <v>2015966</v>
      </c>
      <c r="K44" s="793">
        <f t="shared" si="5"/>
        <v>3780718</v>
      </c>
    </row>
    <row r="45" spans="2:14" x14ac:dyDescent="0.25">
      <c r="B45" s="49" t="s">
        <v>155</v>
      </c>
      <c r="C45" s="246"/>
      <c r="D45" s="49"/>
      <c r="E45" s="51"/>
      <c r="F45" s="798">
        <f>'Predial y Agua'!B18</f>
        <v>246157</v>
      </c>
      <c r="G45" s="553">
        <f>'Predial y Agua'!C18</f>
        <v>314911</v>
      </c>
      <c r="H45" s="793">
        <f t="shared" si="4"/>
        <v>561068</v>
      </c>
      <c r="I45" s="798">
        <f>'Predial y Agua'!E18</f>
        <v>318086</v>
      </c>
      <c r="J45" s="553">
        <f>'Predial y Agua'!F18</f>
        <v>374410</v>
      </c>
      <c r="K45" s="793">
        <f t="shared" si="5"/>
        <v>692496</v>
      </c>
    </row>
    <row r="46" spans="2:14" x14ac:dyDescent="0.25">
      <c r="B46" s="49" t="s">
        <v>156</v>
      </c>
      <c r="C46" s="246"/>
      <c r="D46" s="49"/>
      <c r="E46" s="51"/>
      <c r="F46" s="798">
        <f>'Predial y Agua'!B19</f>
        <v>1605974</v>
      </c>
      <c r="G46" s="553">
        <f>'Predial y Agua'!C19</f>
        <v>916058</v>
      </c>
      <c r="H46" s="793">
        <f t="shared" si="4"/>
        <v>2522032</v>
      </c>
      <c r="I46" s="798">
        <f>'Predial y Agua'!E19</f>
        <v>1417918</v>
      </c>
      <c r="J46" s="553">
        <f>'Predial y Agua'!F19</f>
        <v>980270</v>
      </c>
      <c r="K46" s="793">
        <f t="shared" si="5"/>
        <v>2398188</v>
      </c>
    </row>
    <row r="47" spans="2:14" x14ac:dyDescent="0.25">
      <c r="B47" s="49" t="s">
        <v>157</v>
      </c>
      <c r="C47" s="246"/>
      <c r="D47" s="49"/>
      <c r="E47" s="51"/>
      <c r="F47" s="798">
        <f>'Predial y Agua'!B20</f>
        <v>633445</v>
      </c>
      <c r="G47" s="553">
        <f>'Predial y Agua'!C20</f>
        <v>2790108</v>
      </c>
      <c r="H47" s="793">
        <f t="shared" si="4"/>
        <v>3423553</v>
      </c>
      <c r="I47" s="798">
        <f>'Predial y Agua'!E20</f>
        <v>626941</v>
      </c>
      <c r="J47" s="553">
        <f>'Predial y Agua'!F20</f>
        <v>2735104</v>
      </c>
      <c r="K47" s="793">
        <f t="shared" si="5"/>
        <v>3362045</v>
      </c>
    </row>
    <row r="48" spans="2:14" x14ac:dyDescent="0.25">
      <c r="B48" s="49" t="s">
        <v>158</v>
      </c>
      <c r="C48" s="246"/>
      <c r="D48" s="49"/>
      <c r="E48" s="51"/>
      <c r="F48" s="798">
        <f>'Predial y Agua'!B21</f>
        <v>3131776</v>
      </c>
      <c r="G48" s="553">
        <f>'Predial y Agua'!C21</f>
        <v>2077630</v>
      </c>
      <c r="H48" s="793">
        <f t="shared" si="4"/>
        <v>5209406</v>
      </c>
      <c r="I48" s="798">
        <f>'Predial y Agua'!E21</f>
        <v>1675643</v>
      </c>
      <c r="J48" s="553">
        <f>'Predial y Agua'!F21</f>
        <v>3365029</v>
      </c>
      <c r="K48" s="793">
        <f t="shared" si="5"/>
        <v>5040672</v>
      </c>
    </row>
    <row r="49" spans="2:11" x14ac:dyDescent="0.25">
      <c r="B49" s="49" t="s">
        <v>159</v>
      </c>
      <c r="C49" s="246"/>
      <c r="D49" s="49"/>
      <c r="E49" s="51"/>
      <c r="F49" s="798">
        <f>'Predial y Agua'!B22</f>
        <v>974991</v>
      </c>
      <c r="G49" s="553">
        <f>'Predial y Agua'!C22</f>
        <v>1113293</v>
      </c>
      <c r="H49" s="793">
        <f t="shared" si="4"/>
        <v>2088284</v>
      </c>
      <c r="I49" s="798">
        <f>'Predial y Agua'!E22</f>
        <v>876244</v>
      </c>
      <c r="J49" s="553">
        <f>'Predial y Agua'!F22</f>
        <v>971948</v>
      </c>
      <c r="K49" s="793">
        <f t="shared" si="5"/>
        <v>1848192</v>
      </c>
    </row>
    <row r="50" spans="2:11" x14ac:dyDescent="0.25">
      <c r="B50" s="49" t="s">
        <v>160</v>
      </c>
      <c r="C50" s="246"/>
      <c r="D50" s="49"/>
      <c r="E50" s="51"/>
      <c r="F50" s="798">
        <f>'Predial y Agua'!B23</f>
        <v>1585547</v>
      </c>
      <c r="G50" s="553">
        <f>'Predial y Agua'!C23</f>
        <v>1235071</v>
      </c>
      <c r="H50" s="793">
        <f t="shared" si="4"/>
        <v>2820618</v>
      </c>
      <c r="I50" s="798">
        <f>'Predial y Agua'!E23</f>
        <v>2025415</v>
      </c>
      <c r="J50" s="553">
        <f>'Predial y Agua'!F23</f>
        <v>1257153</v>
      </c>
      <c r="K50" s="793">
        <f t="shared" si="5"/>
        <v>3282568</v>
      </c>
    </row>
    <row r="51" spans="2:11" x14ac:dyDescent="0.25">
      <c r="B51" s="49" t="s">
        <v>161</v>
      </c>
      <c r="C51" s="246"/>
      <c r="D51" s="49"/>
      <c r="E51" s="51"/>
      <c r="F51" s="798">
        <f>'Predial y Agua'!B24</f>
        <v>3990729</v>
      </c>
      <c r="G51" s="553">
        <f>'Predial y Agua'!C24</f>
        <v>13853238</v>
      </c>
      <c r="H51" s="793">
        <f t="shared" si="4"/>
        <v>17843967</v>
      </c>
      <c r="I51" s="798">
        <f>'Predial y Agua'!E24</f>
        <v>3730437</v>
      </c>
      <c r="J51" s="553">
        <f>'Predial y Agua'!F24</f>
        <v>12851147</v>
      </c>
      <c r="K51" s="793">
        <f t="shared" si="5"/>
        <v>16581584</v>
      </c>
    </row>
    <row r="52" spans="2:11" x14ac:dyDescent="0.25">
      <c r="B52" s="49" t="s">
        <v>162</v>
      </c>
      <c r="C52" s="246"/>
      <c r="D52" s="49"/>
      <c r="E52" s="51"/>
      <c r="F52" s="798">
        <f>'Predial y Agua'!B25</f>
        <v>2735517</v>
      </c>
      <c r="G52" s="553">
        <f>'Predial y Agua'!C25</f>
        <v>2148057</v>
      </c>
      <c r="H52" s="793">
        <f t="shared" si="4"/>
        <v>4883574</v>
      </c>
      <c r="I52" s="798">
        <f>'Predial y Agua'!E25</f>
        <v>2622915</v>
      </c>
      <c r="J52" s="553">
        <f>'Predial y Agua'!F25</f>
        <v>2551570</v>
      </c>
      <c r="K52" s="793">
        <f t="shared" si="5"/>
        <v>5174485</v>
      </c>
    </row>
    <row r="53" spans="2:11" s="287" customFormat="1" x14ac:dyDescent="0.25">
      <c r="B53" s="285" t="s">
        <v>163</v>
      </c>
      <c r="C53" s="286"/>
      <c r="D53" s="285"/>
      <c r="E53" s="796"/>
      <c r="F53" s="798">
        <f>'Predial y Agua'!B26</f>
        <v>79247757</v>
      </c>
      <c r="G53" s="553">
        <f>'Predial y Agua'!C26</f>
        <v>209317554</v>
      </c>
      <c r="H53" s="793">
        <f t="shared" si="4"/>
        <v>288565311</v>
      </c>
      <c r="I53" s="798">
        <f>'Predial y Agua'!E26</f>
        <v>79416828</v>
      </c>
      <c r="J53" s="553">
        <f>'Predial y Agua'!F26</f>
        <v>187103945</v>
      </c>
      <c r="K53" s="793">
        <f t="shared" si="5"/>
        <v>266520773</v>
      </c>
    </row>
    <row r="54" spans="2:11" x14ac:dyDescent="0.25">
      <c r="B54" s="49" t="s">
        <v>164</v>
      </c>
      <c r="C54" s="246"/>
      <c r="D54" s="49"/>
      <c r="E54" s="51"/>
      <c r="F54" s="798">
        <f>'Predial y Agua'!B27</f>
        <v>1542123</v>
      </c>
      <c r="G54" s="553">
        <f>'Predial y Agua'!C27</f>
        <v>1574486</v>
      </c>
      <c r="H54" s="793">
        <f t="shared" si="4"/>
        <v>3116609</v>
      </c>
      <c r="I54" s="798">
        <f>'Predial y Agua'!E27</f>
        <v>1362858</v>
      </c>
      <c r="J54" s="553">
        <f>'Predial y Agua'!F27</f>
        <v>2539590</v>
      </c>
      <c r="K54" s="793">
        <f t="shared" si="5"/>
        <v>3902448</v>
      </c>
    </row>
    <row r="55" spans="2:11" ht="15.75" thickBot="1" x14ac:dyDescent="0.3">
      <c r="B55" s="49" t="s">
        <v>165</v>
      </c>
      <c r="C55" s="246"/>
      <c r="D55" s="49"/>
      <c r="E55" s="51"/>
      <c r="F55" s="799">
        <f>'Predial y Agua'!B28</f>
        <v>11179656</v>
      </c>
      <c r="G55" s="794">
        <f>'Predial y Agua'!C28</f>
        <v>34510777</v>
      </c>
      <c r="H55" s="795">
        <f t="shared" si="4"/>
        <v>45690433</v>
      </c>
      <c r="I55" s="799">
        <f>'Predial y Agua'!E28</f>
        <v>10916077</v>
      </c>
      <c r="J55" s="794">
        <f>'Predial y Agua'!F28</f>
        <v>29210060</v>
      </c>
      <c r="K55" s="795">
        <f t="shared" si="5"/>
        <v>40126137</v>
      </c>
    </row>
    <row r="56" spans="2:11" ht="15.75" thickBot="1" x14ac:dyDescent="0.3">
      <c r="B56" s="146" t="s">
        <v>65</v>
      </c>
      <c r="C56" s="246"/>
      <c r="D56" s="246"/>
      <c r="E56" s="800"/>
      <c r="F56" s="801">
        <f>SUM(F36:F55)</f>
        <v>361652951</v>
      </c>
      <c r="G56" s="801">
        <f>SUM(G36:G55)</f>
        <v>433964335</v>
      </c>
      <c r="H56" s="802">
        <f>SUM(H36:H55)</f>
        <v>795617286</v>
      </c>
      <c r="I56" s="801">
        <f>SUM(I36:I55)</f>
        <v>311357680</v>
      </c>
      <c r="J56" s="801">
        <f>SUM(J36:J55)</f>
        <v>406999593</v>
      </c>
      <c r="K56" s="801">
        <f>I56+J56</f>
        <v>718357273</v>
      </c>
    </row>
  </sheetData>
  <mergeCells count="9">
    <mergeCell ref="B34:B35"/>
    <mergeCell ref="F34:H34"/>
    <mergeCell ref="I34:K34"/>
    <mergeCell ref="B3:G3"/>
    <mergeCell ref="B4:G4"/>
    <mergeCell ref="B5:B8"/>
    <mergeCell ref="C5:C6"/>
    <mergeCell ref="E5:E6"/>
    <mergeCell ref="G5:G6"/>
  </mergeCells>
  <pageMargins left="0.70866141732283472" right="0.70866141732283472" top="0.74803149606299213" bottom="0.74803149606299213" header="0.31496062992125984" footer="0.31496062992125984"/>
  <pageSetup scale="60"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tabColor theme="3" tint="0.79998168889431442"/>
    <pageSetUpPr fitToPage="1"/>
  </sheetPr>
  <dimension ref="B2:U88"/>
  <sheetViews>
    <sheetView zoomScale="90" zoomScaleNormal="90" workbookViewId="0">
      <selection activeCell="Q48" sqref="Q48"/>
    </sheetView>
  </sheetViews>
  <sheetFormatPr baseColWidth="10" defaultColWidth="11.42578125" defaultRowHeight="15" x14ac:dyDescent="0.25"/>
  <cols>
    <col min="1" max="1" width="3.5703125" customWidth="1"/>
    <col min="2" max="2" width="22.42578125" customWidth="1"/>
    <col min="3" max="3" width="15.42578125" customWidth="1"/>
    <col min="4" max="4" width="18.7109375" customWidth="1"/>
    <col min="5" max="5" width="18.28515625" customWidth="1"/>
    <col min="6" max="7" width="18" bestFit="1" customWidth="1"/>
    <col min="8" max="12" width="16.28515625" customWidth="1"/>
    <col min="13" max="16" width="16.7109375" customWidth="1"/>
    <col min="17" max="17" width="15.28515625" bestFit="1" customWidth="1"/>
    <col min="18" max="18" width="17.7109375" customWidth="1"/>
    <col min="20" max="20" width="15.28515625" bestFit="1" customWidth="1"/>
    <col min="21" max="21" width="15.140625" customWidth="1"/>
  </cols>
  <sheetData>
    <row r="2" spans="2:21" x14ac:dyDescent="0.25">
      <c r="B2" s="8"/>
      <c r="C2" s="8"/>
      <c r="D2" s="8"/>
      <c r="E2" s="8"/>
      <c r="F2" s="8"/>
      <c r="G2" s="8"/>
      <c r="H2" s="8"/>
      <c r="I2" s="8"/>
      <c r="J2" s="8"/>
      <c r="K2" s="76"/>
      <c r="L2" s="76"/>
      <c r="M2" s="252" t="s">
        <v>217</v>
      </c>
      <c r="N2" s="8"/>
      <c r="O2" s="8"/>
      <c r="P2" s="8"/>
      <c r="Q2" s="8"/>
      <c r="R2" s="8"/>
      <c r="S2" s="8"/>
      <c r="T2" s="8"/>
      <c r="U2" s="8"/>
    </row>
    <row r="3" spans="2:21" x14ac:dyDescent="0.25">
      <c r="B3" s="980" t="s">
        <v>0</v>
      </c>
      <c r="C3" s="980"/>
      <c r="D3" s="980"/>
      <c r="E3" s="980"/>
      <c r="F3" s="980"/>
      <c r="G3" s="980"/>
      <c r="H3" s="980"/>
      <c r="I3" s="980"/>
      <c r="J3" s="980"/>
      <c r="K3" s="980"/>
      <c r="L3" s="980"/>
      <c r="M3" s="980"/>
      <c r="N3" s="8"/>
      <c r="O3" s="8"/>
      <c r="P3" s="8"/>
      <c r="Q3" s="8"/>
      <c r="R3" s="8"/>
      <c r="S3" s="8"/>
      <c r="T3" s="8"/>
      <c r="U3" s="8"/>
    </row>
    <row r="4" spans="2:21" ht="15.75" thickBot="1" x14ac:dyDescent="0.3">
      <c r="B4" s="1050" t="s">
        <v>218</v>
      </c>
      <c r="C4" s="1050"/>
      <c r="D4" s="1050"/>
      <c r="E4" s="1050"/>
      <c r="F4" s="1050"/>
      <c r="G4" s="1050"/>
      <c r="H4" s="1050"/>
      <c r="I4" s="1050"/>
      <c r="J4" s="1050"/>
      <c r="K4" s="1050"/>
      <c r="L4" s="1050"/>
      <c r="M4" s="1050"/>
      <c r="N4" s="8"/>
      <c r="O4" s="8"/>
      <c r="P4" s="8"/>
      <c r="Q4" s="8"/>
      <c r="R4" s="8"/>
      <c r="S4" s="8"/>
      <c r="T4" s="8"/>
      <c r="U4" s="8"/>
    </row>
    <row r="5" spans="2:21" x14ac:dyDescent="0.25">
      <c r="B5" s="1274" t="s">
        <v>83</v>
      </c>
      <c r="C5" s="1276" t="s">
        <v>219</v>
      </c>
      <c r="D5" s="1276"/>
      <c r="E5" s="1276" t="s">
        <v>220</v>
      </c>
      <c r="F5" s="1276"/>
      <c r="G5" s="288" t="s">
        <v>221</v>
      </c>
      <c r="H5" s="288" t="s">
        <v>137</v>
      </c>
      <c r="I5" s="289"/>
      <c r="J5" s="289"/>
      <c r="K5" s="289" t="s">
        <v>29</v>
      </c>
      <c r="L5" s="289" t="s">
        <v>22</v>
      </c>
      <c r="M5" s="290" t="s">
        <v>82</v>
      </c>
      <c r="N5" s="148"/>
      <c r="O5" s="148"/>
      <c r="P5" s="148"/>
      <c r="Q5" s="154"/>
      <c r="R5" s="8"/>
      <c r="S5" s="8"/>
      <c r="T5" s="8"/>
      <c r="U5" s="8"/>
    </row>
    <row r="6" spans="2:21" x14ac:dyDescent="0.25">
      <c r="B6" s="1275"/>
      <c r="C6" s="1169" t="s">
        <v>69</v>
      </c>
      <c r="D6" s="1169"/>
      <c r="E6" s="1277" t="s">
        <v>132</v>
      </c>
      <c r="F6" s="1277"/>
      <c r="G6" s="268" t="s">
        <v>222</v>
      </c>
      <c r="H6" s="268" t="s">
        <v>223</v>
      </c>
      <c r="I6" s="291"/>
      <c r="J6" s="291"/>
      <c r="K6" s="291" t="s">
        <v>35</v>
      </c>
      <c r="L6" s="291" t="s">
        <v>224</v>
      </c>
      <c r="M6" s="292" t="s">
        <v>225</v>
      </c>
      <c r="N6" s="148"/>
      <c r="O6" s="148"/>
      <c r="P6" s="148"/>
      <c r="Q6" s="154"/>
      <c r="R6" s="8"/>
      <c r="S6" s="118"/>
      <c r="T6" s="293"/>
      <c r="U6" s="8"/>
    </row>
    <row r="7" spans="2:21" x14ac:dyDescent="0.25">
      <c r="B7" s="1275"/>
      <c r="C7" s="257" t="s">
        <v>137</v>
      </c>
      <c r="D7" s="257" t="s">
        <v>226</v>
      </c>
      <c r="E7" s="253" t="s">
        <v>137</v>
      </c>
      <c r="F7" s="253" t="s">
        <v>227</v>
      </c>
      <c r="G7" s="268"/>
      <c r="H7" s="268" t="s">
        <v>228</v>
      </c>
      <c r="I7" s="291"/>
      <c r="J7" s="291"/>
      <c r="K7" s="291" t="s">
        <v>43</v>
      </c>
      <c r="L7" s="291" t="s">
        <v>42</v>
      </c>
      <c r="M7" s="292" t="s">
        <v>229</v>
      </c>
      <c r="N7" s="148"/>
      <c r="O7" s="148"/>
      <c r="P7" s="148"/>
      <c r="Q7" s="154"/>
      <c r="R7" s="8"/>
      <c r="S7" s="118"/>
      <c r="T7" s="293"/>
      <c r="U7" s="8"/>
    </row>
    <row r="8" spans="2:21" x14ac:dyDescent="0.25">
      <c r="B8" s="1275"/>
      <c r="C8" s="294" t="s">
        <v>230</v>
      </c>
      <c r="D8" s="294" t="s">
        <v>97</v>
      </c>
      <c r="E8" s="294" t="s">
        <v>71</v>
      </c>
      <c r="F8" s="294" t="s">
        <v>98</v>
      </c>
      <c r="G8" s="295" t="s">
        <v>145</v>
      </c>
      <c r="H8" s="295" t="s">
        <v>100</v>
      </c>
      <c r="I8" s="296"/>
      <c r="J8" s="296"/>
      <c r="K8" s="297"/>
      <c r="L8" s="297"/>
      <c r="M8" s="298"/>
      <c r="N8" s="8"/>
      <c r="O8" s="8"/>
      <c r="P8" s="8"/>
      <c r="Q8" s="8"/>
      <c r="R8" s="8"/>
      <c r="S8" s="118"/>
      <c r="T8" s="293"/>
      <c r="U8" s="8"/>
    </row>
    <row r="9" spans="2:21" x14ac:dyDescent="0.25">
      <c r="B9" s="151" t="s">
        <v>45</v>
      </c>
      <c r="C9" s="299" t="e">
        <f>#REF!</f>
        <v>#REF!</v>
      </c>
      <c r="D9" s="270" t="e">
        <f>#REF!</f>
        <v>#REF!</v>
      </c>
      <c r="E9" s="163">
        <v>6.3423828522887202</v>
      </c>
      <c r="F9" s="121">
        <f>'FGP 30%'!G9</f>
        <v>7792785.8061734168</v>
      </c>
      <c r="G9" s="143" t="e">
        <f t="shared" ref="G9:G28" si="0">D9+F9</f>
        <v>#REF!</v>
      </c>
      <c r="H9" s="269" t="e">
        <f>G9/G$29%</f>
        <v>#REF!</v>
      </c>
      <c r="I9" s="339">
        <v>212240.17867414959</v>
      </c>
      <c r="J9" s="300" t="e">
        <f>I9-G9</f>
        <v>#REF!</v>
      </c>
      <c r="K9" s="301" t="e">
        <f>J9-H9</f>
        <v>#REF!</v>
      </c>
      <c r="L9" s="302" t="e">
        <f>K9/K$29*100</f>
        <v>#REF!</v>
      </c>
      <c r="M9" s="303" t="e">
        <f>D9+F9+K9</f>
        <v>#REF!</v>
      </c>
      <c r="N9" s="293"/>
      <c r="O9" s="293"/>
      <c r="P9" s="293"/>
      <c r="Q9" s="293"/>
      <c r="R9" s="293"/>
      <c r="S9" s="118"/>
      <c r="T9" s="293"/>
      <c r="U9" s="304"/>
    </row>
    <row r="10" spans="2:21" x14ac:dyDescent="0.25">
      <c r="B10" s="151" t="s">
        <v>46</v>
      </c>
      <c r="C10" s="299" t="e">
        <f>#REF!</f>
        <v>#REF!</v>
      </c>
      <c r="D10" s="270" t="e">
        <f>#REF!</f>
        <v>#REF!</v>
      </c>
      <c r="E10" s="163">
        <v>4.8747369734108545</v>
      </c>
      <c r="F10" s="121">
        <f>'FGP 30%'!G10</f>
        <v>9134740.0530289598</v>
      </c>
      <c r="G10" s="145" t="e">
        <f t="shared" si="0"/>
        <v>#REF!</v>
      </c>
      <c r="H10" s="162" t="e">
        <f t="shared" ref="H10:H28" si="1">G10/G$29%</f>
        <v>#REF!</v>
      </c>
      <c r="I10" s="339">
        <v>145867.37344216814</v>
      </c>
      <c r="J10" s="300" t="e">
        <f t="shared" ref="J10:K28" si="2">I10-G10</f>
        <v>#REF!</v>
      </c>
      <c r="K10" s="301" t="e">
        <f t="shared" si="2"/>
        <v>#REF!</v>
      </c>
      <c r="L10" s="302" t="e">
        <f t="shared" ref="L10:L28" si="3">K10/K$29*100</f>
        <v>#REF!</v>
      </c>
      <c r="M10" s="305" t="e">
        <f t="shared" ref="M10:M28" si="4">D10+F10+K10</f>
        <v>#REF!</v>
      </c>
      <c r="N10" s="293"/>
      <c r="O10" s="293"/>
      <c r="P10" s="293"/>
      <c r="Q10" s="293"/>
      <c r="R10" s="293"/>
      <c r="S10" s="118"/>
      <c r="T10" s="293"/>
      <c r="U10" s="304"/>
    </row>
    <row r="11" spans="2:21" x14ac:dyDescent="0.25">
      <c r="B11" s="151" t="s">
        <v>47</v>
      </c>
      <c r="C11" s="299" t="e">
        <f>#REF!</f>
        <v>#REF!</v>
      </c>
      <c r="D11" s="270" t="e">
        <f>#REF!</f>
        <v>#REF!</v>
      </c>
      <c r="E11" s="163">
        <v>3.9787441024444163</v>
      </c>
      <c r="F11" s="121">
        <f>'FGP 30%'!G11</f>
        <v>9354023.7492421158</v>
      </c>
      <c r="G11" s="145" t="e">
        <f t="shared" si="0"/>
        <v>#REF!</v>
      </c>
      <c r="H11" s="162" t="e">
        <f t="shared" si="1"/>
        <v>#REF!</v>
      </c>
      <c r="I11" s="339">
        <v>130448.22525879936</v>
      </c>
      <c r="J11" s="300" t="e">
        <f t="shared" si="2"/>
        <v>#REF!</v>
      </c>
      <c r="K11" s="301" t="e">
        <f t="shared" si="2"/>
        <v>#REF!</v>
      </c>
      <c r="L11" s="302" t="e">
        <f t="shared" si="3"/>
        <v>#REF!</v>
      </c>
      <c r="M11" s="305" t="e">
        <f t="shared" si="4"/>
        <v>#REF!</v>
      </c>
      <c r="N11" s="293"/>
      <c r="O11" s="293"/>
      <c r="P11" s="293"/>
      <c r="Q11" s="293"/>
      <c r="R11" s="293"/>
      <c r="S11" s="118"/>
      <c r="T11" s="293"/>
      <c r="U11" s="304"/>
    </row>
    <row r="12" spans="2:21" x14ac:dyDescent="0.25">
      <c r="B12" s="151" t="s">
        <v>48</v>
      </c>
      <c r="C12" s="299" t="e">
        <f>#REF!</f>
        <v>#REF!</v>
      </c>
      <c r="D12" s="270" t="e">
        <f>#REF!</f>
        <v>#REF!</v>
      </c>
      <c r="E12" s="163">
        <v>4.7794922547559926</v>
      </c>
      <c r="F12" s="121">
        <f>'FGP 30%'!G12</f>
        <v>7859990.3610195015</v>
      </c>
      <c r="G12" s="145" t="e">
        <f t="shared" si="0"/>
        <v>#REF!</v>
      </c>
      <c r="H12" s="162" t="e">
        <f t="shared" si="1"/>
        <v>#REF!</v>
      </c>
      <c r="I12" s="339">
        <v>417649.23433316802</v>
      </c>
      <c r="J12" s="300" t="e">
        <f t="shared" si="2"/>
        <v>#REF!</v>
      </c>
      <c r="K12" s="301" t="e">
        <f t="shared" si="2"/>
        <v>#REF!</v>
      </c>
      <c r="L12" s="302" t="e">
        <f t="shared" si="3"/>
        <v>#REF!</v>
      </c>
      <c r="M12" s="305" t="e">
        <f t="shared" si="4"/>
        <v>#REF!</v>
      </c>
      <c r="N12" s="293"/>
      <c r="O12" s="293"/>
      <c r="P12" s="304"/>
      <c r="Q12" s="293"/>
      <c r="R12" s="304"/>
      <c r="S12" s="118"/>
      <c r="T12" s="293"/>
      <c r="U12" s="304"/>
    </row>
    <row r="13" spans="2:21" x14ac:dyDescent="0.25">
      <c r="B13" s="151" t="s">
        <v>49</v>
      </c>
      <c r="C13" s="299" t="e">
        <f>#REF!</f>
        <v>#REF!</v>
      </c>
      <c r="D13" s="270" t="e">
        <f>#REF!</f>
        <v>#REF!</v>
      </c>
      <c r="E13" s="163">
        <v>4.8396147698123535</v>
      </c>
      <c r="F13" s="121">
        <f>'FGP 30%'!G13</f>
        <v>4692316.8701346712</v>
      </c>
      <c r="G13" s="145" t="e">
        <f t="shared" si="0"/>
        <v>#REF!</v>
      </c>
      <c r="H13" s="162" t="e">
        <f t="shared" si="1"/>
        <v>#REF!</v>
      </c>
      <c r="I13" s="339">
        <v>277064.87231006427</v>
      </c>
      <c r="J13" s="300" t="e">
        <f t="shared" si="2"/>
        <v>#REF!</v>
      </c>
      <c r="K13" s="301" t="e">
        <f t="shared" si="2"/>
        <v>#REF!</v>
      </c>
      <c r="L13" s="302" t="e">
        <f t="shared" si="3"/>
        <v>#REF!</v>
      </c>
      <c r="M13" s="305" t="e">
        <f t="shared" si="4"/>
        <v>#REF!</v>
      </c>
      <c r="N13" s="293"/>
      <c r="O13" s="293"/>
      <c r="P13" s="293"/>
      <c r="Q13" s="293"/>
      <c r="R13" s="293"/>
      <c r="S13" s="118"/>
      <c r="T13" s="293"/>
      <c r="U13" s="304"/>
    </row>
    <row r="14" spans="2:21" x14ac:dyDescent="0.25">
      <c r="B14" s="151" t="s">
        <v>50</v>
      </c>
      <c r="C14" s="299" t="e">
        <f>#REF!</f>
        <v>#REF!</v>
      </c>
      <c r="D14" s="270" t="e">
        <f>#REF!</f>
        <v>#REF!</v>
      </c>
      <c r="E14" s="163">
        <v>4.8859352991166247</v>
      </c>
      <c r="F14" s="121">
        <f>'FGP 30%'!G14</f>
        <v>10762727.385283299</v>
      </c>
      <c r="G14" s="145" t="e">
        <f t="shared" si="0"/>
        <v>#REF!</v>
      </c>
      <c r="H14" s="162" t="e">
        <f t="shared" si="1"/>
        <v>#REF!</v>
      </c>
      <c r="I14" s="339">
        <v>187736.37714703428</v>
      </c>
      <c r="J14" s="300" t="e">
        <f t="shared" si="2"/>
        <v>#REF!</v>
      </c>
      <c r="K14" s="301" t="e">
        <f t="shared" si="2"/>
        <v>#REF!</v>
      </c>
      <c r="L14" s="302" t="e">
        <f t="shared" si="3"/>
        <v>#REF!</v>
      </c>
      <c r="M14" s="305" t="e">
        <f t="shared" si="4"/>
        <v>#REF!</v>
      </c>
      <c r="N14" s="293"/>
      <c r="O14" s="293"/>
      <c r="P14" s="293"/>
      <c r="Q14" s="293"/>
      <c r="R14" s="293"/>
      <c r="S14" s="118"/>
      <c r="T14" s="293"/>
      <c r="U14" s="304"/>
    </row>
    <row r="15" spans="2:21" x14ac:dyDescent="0.25">
      <c r="B15" s="151" t="s">
        <v>51</v>
      </c>
      <c r="C15" s="299" t="e">
        <f>#REF!</f>
        <v>#REF!</v>
      </c>
      <c r="D15" s="270" t="e">
        <f>#REF!</f>
        <v>#REF!</v>
      </c>
      <c r="E15" s="163">
        <v>4.009568855684738</v>
      </c>
      <c r="F15" s="121">
        <f>'FGP 30%'!G15</f>
        <v>10596109.008984035</v>
      </c>
      <c r="G15" s="145" t="e">
        <f t="shared" si="0"/>
        <v>#REF!</v>
      </c>
      <c r="H15" s="162" t="e">
        <f t="shared" si="1"/>
        <v>#REF!</v>
      </c>
      <c r="I15" s="339">
        <v>131008.64234565338</v>
      </c>
      <c r="J15" s="300" t="e">
        <f t="shared" si="2"/>
        <v>#REF!</v>
      </c>
      <c r="K15" s="301" t="e">
        <f t="shared" si="2"/>
        <v>#REF!</v>
      </c>
      <c r="L15" s="302" t="e">
        <f t="shared" si="3"/>
        <v>#REF!</v>
      </c>
      <c r="M15" s="305" t="e">
        <f t="shared" si="4"/>
        <v>#REF!</v>
      </c>
      <c r="N15" s="293"/>
      <c r="O15" s="293"/>
      <c r="P15" s="293"/>
      <c r="Q15" s="293"/>
      <c r="R15" s="293"/>
      <c r="S15" s="118"/>
      <c r="T15" s="293"/>
      <c r="U15" s="304"/>
    </row>
    <row r="16" spans="2:21" x14ac:dyDescent="0.25">
      <c r="B16" s="151" t="s">
        <v>52</v>
      </c>
      <c r="C16" s="299" t="e">
        <f>#REF!</f>
        <v>#REF!</v>
      </c>
      <c r="D16" s="270" t="e">
        <f>#REF!</f>
        <v>#REF!</v>
      </c>
      <c r="E16" s="163">
        <v>7.5369203970102321</v>
      </c>
      <c r="F16" s="121">
        <f>'FGP 30%'!G16</f>
        <v>9145736.5899753515</v>
      </c>
      <c r="G16" s="145" t="e">
        <f t="shared" si="0"/>
        <v>#REF!</v>
      </c>
      <c r="H16" s="162" t="e">
        <f t="shared" si="1"/>
        <v>#REF!</v>
      </c>
      <c r="I16" s="339">
        <v>205355.35681466889</v>
      </c>
      <c r="J16" s="300" t="e">
        <f t="shared" si="2"/>
        <v>#REF!</v>
      </c>
      <c r="K16" s="301" t="e">
        <f t="shared" si="2"/>
        <v>#REF!</v>
      </c>
      <c r="L16" s="302" t="e">
        <f t="shared" si="3"/>
        <v>#REF!</v>
      </c>
      <c r="M16" s="305" t="e">
        <f t="shared" si="4"/>
        <v>#REF!</v>
      </c>
      <c r="N16" s="293"/>
      <c r="O16" s="293"/>
      <c r="P16" s="293"/>
      <c r="Q16" s="293"/>
      <c r="R16" s="293"/>
      <c r="S16" s="118"/>
      <c r="T16" s="293"/>
      <c r="U16" s="304"/>
    </row>
    <row r="17" spans="2:21" x14ac:dyDescent="0.25">
      <c r="B17" s="151" t="s">
        <v>53</v>
      </c>
      <c r="C17" s="299" t="e">
        <f>#REF!</f>
        <v>#REF!</v>
      </c>
      <c r="D17" s="270" t="e">
        <f>#REF!</f>
        <v>#REF!</v>
      </c>
      <c r="E17" s="163">
        <v>5.9361538809380185</v>
      </c>
      <c r="F17" s="121">
        <f>'FGP 30%'!G17</f>
        <v>7455743.8394871242</v>
      </c>
      <c r="G17" s="145" t="e">
        <f t="shared" si="0"/>
        <v>#REF!</v>
      </c>
      <c r="H17" s="162" t="e">
        <f t="shared" si="1"/>
        <v>#REF!</v>
      </c>
      <c r="I17" s="339">
        <v>162912.99120529165</v>
      </c>
      <c r="J17" s="300" t="e">
        <f t="shared" si="2"/>
        <v>#REF!</v>
      </c>
      <c r="K17" s="301" t="e">
        <f t="shared" si="2"/>
        <v>#REF!</v>
      </c>
      <c r="L17" s="302" t="e">
        <f t="shared" si="3"/>
        <v>#REF!</v>
      </c>
      <c r="M17" s="305" t="e">
        <f t="shared" si="4"/>
        <v>#REF!</v>
      </c>
      <c r="N17" s="293"/>
      <c r="O17" s="293"/>
      <c r="P17" s="293"/>
      <c r="Q17" s="293"/>
      <c r="R17" s="293"/>
      <c r="S17" s="118"/>
      <c r="T17" s="293"/>
      <c r="U17" s="304"/>
    </row>
    <row r="18" spans="2:21" x14ac:dyDescent="0.25">
      <c r="B18" s="151" t="s">
        <v>54</v>
      </c>
      <c r="C18" s="299" t="e">
        <f>#REF!</f>
        <v>#REF!</v>
      </c>
      <c r="D18" s="270" t="e">
        <f>#REF!</f>
        <v>#REF!</v>
      </c>
      <c r="E18" s="163">
        <v>4.8230792844533079</v>
      </c>
      <c r="F18" s="121">
        <f>'FGP 30%'!G18</f>
        <v>10443834.318572761</v>
      </c>
      <c r="G18" s="145" t="e">
        <f t="shared" si="0"/>
        <v>#REF!</v>
      </c>
      <c r="H18" s="162" t="e">
        <f t="shared" si="1"/>
        <v>#REF!</v>
      </c>
      <c r="I18" s="339">
        <v>142227.96010683011</v>
      </c>
      <c r="J18" s="300" t="e">
        <f t="shared" si="2"/>
        <v>#REF!</v>
      </c>
      <c r="K18" s="301" t="e">
        <f t="shared" si="2"/>
        <v>#REF!</v>
      </c>
      <c r="L18" s="302" t="e">
        <f t="shared" si="3"/>
        <v>#REF!</v>
      </c>
      <c r="M18" s="305" t="e">
        <f t="shared" si="4"/>
        <v>#REF!</v>
      </c>
      <c r="N18" s="293"/>
      <c r="O18" s="293"/>
      <c r="P18" s="293"/>
      <c r="Q18" s="293"/>
      <c r="R18" s="293"/>
      <c r="S18" s="118"/>
      <c r="T18" s="293"/>
      <c r="U18" s="304"/>
    </row>
    <row r="19" spans="2:21" x14ac:dyDescent="0.25">
      <c r="B19" s="151" t="s">
        <v>55</v>
      </c>
      <c r="C19" s="299" t="e">
        <f>#REF!</f>
        <v>#REF!</v>
      </c>
      <c r="D19" s="270" t="e">
        <f>#REF!</f>
        <v>#REF!</v>
      </c>
      <c r="E19" s="163">
        <v>4.1063513873665975</v>
      </c>
      <c r="F19" s="121">
        <f>'FGP 30%'!G19</f>
        <v>8046200.2530526174</v>
      </c>
      <c r="G19" s="145" t="e">
        <f t="shared" si="0"/>
        <v>#REF!</v>
      </c>
      <c r="H19" s="162" t="e">
        <f t="shared" si="1"/>
        <v>#REF!</v>
      </c>
      <c r="I19" s="339">
        <v>178100.70770568217</v>
      </c>
      <c r="J19" s="300" t="e">
        <f t="shared" si="2"/>
        <v>#REF!</v>
      </c>
      <c r="K19" s="301" t="e">
        <f t="shared" si="2"/>
        <v>#REF!</v>
      </c>
      <c r="L19" s="302" t="e">
        <f t="shared" si="3"/>
        <v>#REF!</v>
      </c>
      <c r="M19" s="305" t="e">
        <f t="shared" si="4"/>
        <v>#REF!</v>
      </c>
      <c r="N19" s="293"/>
      <c r="O19" s="293"/>
      <c r="P19" s="293"/>
      <c r="Q19" s="293"/>
      <c r="R19" s="293"/>
      <c r="S19" s="118"/>
      <c r="T19" s="293"/>
      <c r="U19" s="304"/>
    </row>
    <row r="20" spans="2:21" x14ac:dyDescent="0.25">
      <c r="B20" s="151" t="s">
        <v>56</v>
      </c>
      <c r="C20" s="299" t="e">
        <f>#REF!</f>
        <v>#REF!</v>
      </c>
      <c r="D20" s="270" t="e">
        <f>#REF!</f>
        <v>#REF!</v>
      </c>
      <c r="E20" s="163">
        <v>5.2077346983143604</v>
      </c>
      <c r="F20" s="121">
        <f>'FGP 30%'!G20</f>
        <v>8309687.0976197133</v>
      </c>
      <c r="G20" s="145" t="e">
        <f t="shared" si="0"/>
        <v>#REF!</v>
      </c>
      <c r="H20" s="162" t="e">
        <f t="shared" si="1"/>
        <v>#REF!</v>
      </c>
      <c r="I20" s="339">
        <v>166912.25078355873</v>
      </c>
      <c r="J20" s="300" t="e">
        <f t="shared" si="2"/>
        <v>#REF!</v>
      </c>
      <c r="K20" s="301" t="e">
        <f t="shared" si="2"/>
        <v>#REF!</v>
      </c>
      <c r="L20" s="302" t="e">
        <f t="shared" si="3"/>
        <v>#REF!</v>
      </c>
      <c r="M20" s="305" t="e">
        <f t="shared" si="4"/>
        <v>#REF!</v>
      </c>
      <c r="N20" s="293"/>
      <c r="O20" s="293"/>
      <c r="P20" s="293"/>
      <c r="Q20" s="293"/>
      <c r="R20" s="293"/>
      <c r="S20" s="118"/>
      <c r="T20" s="293"/>
      <c r="U20" s="293"/>
    </row>
    <row r="21" spans="2:21" x14ac:dyDescent="0.25">
      <c r="B21" s="151" t="s">
        <v>57</v>
      </c>
      <c r="C21" s="299" t="e">
        <f>#REF!</f>
        <v>#REF!</v>
      </c>
      <c r="D21" s="270" t="e">
        <f>#REF!</f>
        <v>#REF!</v>
      </c>
      <c r="E21" s="163">
        <v>4.8186763914888475</v>
      </c>
      <c r="F21" s="121">
        <f>'FGP 30%'!G21</f>
        <v>8187634.3020181721</v>
      </c>
      <c r="G21" s="145" t="e">
        <f t="shared" si="0"/>
        <v>#REF!</v>
      </c>
      <c r="H21" s="162" t="e">
        <f t="shared" si="1"/>
        <v>#REF!</v>
      </c>
      <c r="I21" s="339">
        <v>208036.45988467679</v>
      </c>
      <c r="J21" s="300" t="e">
        <f t="shared" si="2"/>
        <v>#REF!</v>
      </c>
      <c r="K21" s="301" t="e">
        <f t="shared" si="2"/>
        <v>#REF!</v>
      </c>
      <c r="L21" s="302" t="e">
        <f t="shared" si="3"/>
        <v>#REF!</v>
      </c>
      <c r="M21" s="305" t="e">
        <f t="shared" si="4"/>
        <v>#REF!</v>
      </c>
      <c r="N21" s="293"/>
      <c r="O21" s="293"/>
      <c r="P21" s="293"/>
      <c r="Q21" s="293"/>
      <c r="R21" s="293"/>
      <c r="S21" s="118"/>
      <c r="T21" s="293"/>
      <c r="U21" s="293"/>
    </row>
    <row r="22" spans="2:21" x14ac:dyDescent="0.25">
      <c r="B22" s="151" t="s">
        <v>58</v>
      </c>
      <c r="C22" s="299" t="e">
        <f>#REF!</f>
        <v>#REF!</v>
      </c>
      <c r="D22" s="270" t="e">
        <f>#REF!</f>
        <v>#REF!</v>
      </c>
      <c r="E22" s="163">
        <v>2.9110739805529704</v>
      </c>
      <c r="F22" s="121">
        <f>'FGP 30%'!G22</f>
        <v>7488860.3008224061</v>
      </c>
      <c r="G22" s="145" t="e">
        <f t="shared" si="0"/>
        <v>#REF!</v>
      </c>
      <c r="H22" s="162" t="e">
        <f t="shared" si="1"/>
        <v>#REF!</v>
      </c>
      <c r="I22" s="339">
        <v>121434.25160385661</v>
      </c>
      <c r="J22" s="300" t="e">
        <f t="shared" si="2"/>
        <v>#REF!</v>
      </c>
      <c r="K22" s="301" t="e">
        <f t="shared" si="2"/>
        <v>#REF!</v>
      </c>
      <c r="L22" s="302" t="e">
        <f t="shared" si="3"/>
        <v>#REF!</v>
      </c>
      <c r="M22" s="305" t="e">
        <f t="shared" si="4"/>
        <v>#REF!</v>
      </c>
      <c r="N22" s="293"/>
      <c r="O22" s="293"/>
      <c r="P22" s="293"/>
      <c r="Q22" s="293"/>
      <c r="R22" s="293"/>
      <c r="S22" s="118"/>
      <c r="T22" s="293"/>
      <c r="U22" s="304"/>
    </row>
    <row r="23" spans="2:21" x14ac:dyDescent="0.25">
      <c r="B23" s="151" t="s">
        <v>59</v>
      </c>
      <c r="C23" s="299" t="e">
        <f>#REF!</f>
        <v>#REF!</v>
      </c>
      <c r="D23" s="270" t="e">
        <f>#REF!</f>
        <v>#REF!</v>
      </c>
      <c r="E23" s="163">
        <v>4.3304906658341711</v>
      </c>
      <c r="F23" s="121">
        <f>'FGP 30%'!G23</f>
        <v>9847537.9376249406</v>
      </c>
      <c r="G23" s="145" t="e">
        <f t="shared" si="0"/>
        <v>#REF!</v>
      </c>
      <c r="H23" s="162" t="e">
        <f t="shared" si="1"/>
        <v>#REF!</v>
      </c>
      <c r="I23" s="339">
        <v>154393.13551406987</v>
      </c>
      <c r="J23" s="300" t="e">
        <f t="shared" si="2"/>
        <v>#REF!</v>
      </c>
      <c r="K23" s="301" t="e">
        <f t="shared" si="2"/>
        <v>#REF!</v>
      </c>
      <c r="L23" s="302" t="e">
        <f t="shared" si="3"/>
        <v>#REF!</v>
      </c>
      <c r="M23" s="305" t="e">
        <f t="shared" si="4"/>
        <v>#REF!</v>
      </c>
      <c r="N23" s="293"/>
      <c r="O23" s="293"/>
      <c r="P23" s="293"/>
      <c r="Q23" s="293"/>
      <c r="R23" s="293"/>
      <c r="S23" s="118"/>
      <c r="T23" s="293"/>
      <c r="U23" s="304"/>
    </row>
    <row r="24" spans="2:21" x14ac:dyDescent="0.25">
      <c r="B24" s="151" t="s">
        <v>60</v>
      </c>
      <c r="C24" s="299" t="e">
        <f>#REF!</f>
        <v>#REF!</v>
      </c>
      <c r="D24" s="270" t="e">
        <f>#REF!</f>
        <v>#REF!</v>
      </c>
      <c r="E24" s="163">
        <v>5.3086882085256404</v>
      </c>
      <c r="F24" s="121">
        <f>'FGP 30%'!G24</f>
        <v>7863082.0616052598</v>
      </c>
      <c r="G24" s="145" t="e">
        <f t="shared" si="0"/>
        <v>#REF!</v>
      </c>
      <c r="H24" s="162" t="e">
        <f t="shared" si="1"/>
        <v>#REF!</v>
      </c>
      <c r="I24" s="339">
        <v>342815.93253579823</v>
      </c>
      <c r="J24" s="300" t="e">
        <f t="shared" si="2"/>
        <v>#REF!</v>
      </c>
      <c r="K24" s="301" t="e">
        <f t="shared" si="2"/>
        <v>#REF!</v>
      </c>
      <c r="L24" s="302" t="e">
        <f t="shared" si="3"/>
        <v>#REF!</v>
      </c>
      <c r="M24" s="305" t="e">
        <f t="shared" si="4"/>
        <v>#REF!</v>
      </c>
      <c r="N24" s="293"/>
      <c r="O24" s="293"/>
      <c r="P24" s="293"/>
      <c r="Q24" s="293"/>
      <c r="R24" s="304"/>
      <c r="S24" s="118"/>
      <c r="T24" s="293"/>
      <c r="U24" s="293"/>
    </row>
    <row r="25" spans="2:21" x14ac:dyDescent="0.25">
      <c r="B25" s="151" t="s">
        <v>61</v>
      </c>
      <c r="C25" s="299" t="e">
        <f>#REF!</f>
        <v>#REF!</v>
      </c>
      <c r="D25" s="270" t="e">
        <f>#REF!</f>
        <v>#REF!</v>
      </c>
      <c r="E25" s="163">
        <v>4.864796565169633</v>
      </c>
      <c r="F25" s="121">
        <f>'FGP 30%'!G25</f>
        <v>8965769.3799462561</v>
      </c>
      <c r="G25" s="145" t="e">
        <f t="shared" si="0"/>
        <v>#REF!</v>
      </c>
      <c r="H25" s="162" t="e">
        <f t="shared" si="1"/>
        <v>#REF!</v>
      </c>
      <c r="I25" s="339">
        <v>200479.78722284615</v>
      </c>
      <c r="J25" s="300" t="e">
        <f t="shared" si="2"/>
        <v>#REF!</v>
      </c>
      <c r="K25" s="301" t="e">
        <f t="shared" si="2"/>
        <v>#REF!</v>
      </c>
      <c r="L25" s="302" t="e">
        <f t="shared" si="3"/>
        <v>#REF!</v>
      </c>
      <c r="M25" s="305" t="e">
        <f t="shared" si="4"/>
        <v>#REF!</v>
      </c>
      <c r="N25" s="293"/>
      <c r="O25" s="293"/>
      <c r="P25" s="293"/>
      <c r="Q25" s="293"/>
      <c r="R25" s="293"/>
      <c r="S25" s="118"/>
      <c r="T25" s="293"/>
      <c r="U25" s="304"/>
    </row>
    <row r="26" spans="2:21" x14ac:dyDescent="0.25">
      <c r="B26" s="151" t="s">
        <v>62</v>
      </c>
      <c r="C26" s="299" t="e">
        <f>#REF!</f>
        <v>#REF!</v>
      </c>
      <c r="D26" s="270" t="e">
        <f>#REF!</f>
        <v>#REF!</v>
      </c>
      <c r="E26" s="163">
        <v>5.7978942563195188</v>
      </c>
      <c r="F26" s="121">
        <f>'FGP 30%'!G26</f>
        <v>7815290.8632934326</v>
      </c>
      <c r="G26" s="145" t="e">
        <f t="shared" si="0"/>
        <v>#REF!</v>
      </c>
      <c r="H26" s="306" t="e">
        <f t="shared" si="1"/>
        <v>#REF!</v>
      </c>
      <c r="I26" s="339">
        <v>1123889.5444337416</v>
      </c>
      <c r="J26" s="300" t="e">
        <f t="shared" si="2"/>
        <v>#REF!</v>
      </c>
      <c r="K26" s="301" t="e">
        <f t="shared" si="2"/>
        <v>#REF!</v>
      </c>
      <c r="L26" s="302" t="e">
        <f t="shared" si="3"/>
        <v>#REF!</v>
      </c>
      <c r="M26" s="305" t="e">
        <f t="shared" si="4"/>
        <v>#REF!</v>
      </c>
      <c r="N26" s="293"/>
      <c r="O26" s="293"/>
      <c r="P26" s="304"/>
      <c r="Q26" s="293"/>
      <c r="R26" s="304"/>
      <c r="S26" s="118"/>
      <c r="T26" s="293"/>
      <c r="U26" s="293"/>
    </row>
    <row r="27" spans="2:21" x14ac:dyDescent="0.25">
      <c r="B27" s="151" t="s">
        <v>63</v>
      </c>
      <c r="C27" s="299" t="e">
        <f>#REF!</f>
        <v>#REF!</v>
      </c>
      <c r="D27" s="270" t="e">
        <f>#REF!</f>
        <v>#REF!</v>
      </c>
      <c r="E27" s="163">
        <v>4.8271447622480794</v>
      </c>
      <c r="F27" s="121">
        <f>'FGP 30%'!G27</f>
        <v>10595293.913259767</v>
      </c>
      <c r="G27" s="145" t="e">
        <f t="shared" si="0"/>
        <v>#REF!</v>
      </c>
      <c r="H27" s="162" t="e">
        <f t="shared" si="1"/>
        <v>#REF!</v>
      </c>
      <c r="I27" s="339">
        <v>177060.44640841757</v>
      </c>
      <c r="J27" s="300" t="e">
        <f t="shared" si="2"/>
        <v>#REF!</v>
      </c>
      <c r="K27" s="301" t="e">
        <f t="shared" si="2"/>
        <v>#REF!</v>
      </c>
      <c r="L27" s="302" t="e">
        <f t="shared" si="3"/>
        <v>#REF!</v>
      </c>
      <c r="M27" s="305" t="e">
        <f t="shared" si="4"/>
        <v>#REF!</v>
      </c>
      <c r="N27" s="293"/>
      <c r="O27" s="293"/>
      <c r="P27" s="293"/>
      <c r="Q27" s="293"/>
      <c r="R27" s="293"/>
      <c r="S27" s="118"/>
      <c r="T27" s="293"/>
      <c r="U27" s="293"/>
    </row>
    <row r="28" spans="2:21" ht="15.75" thickBot="1" x14ac:dyDescent="0.3">
      <c r="B28" s="152" t="s">
        <v>64</v>
      </c>
      <c r="C28" s="307" t="e">
        <f>#REF!</f>
        <v>#REF!</v>
      </c>
      <c r="D28" s="308" t="e">
        <f>#REF!</f>
        <v>#REF!</v>
      </c>
      <c r="E28" s="309">
        <v>5.8205204142649469</v>
      </c>
      <c r="F28" s="310">
        <f>'FGP 30%'!G28</f>
        <v>7431222.7938562343</v>
      </c>
      <c r="G28" s="311" t="e">
        <f t="shared" si="0"/>
        <v>#REF!</v>
      </c>
      <c r="H28" s="312" t="e">
        <f t="shared" si="1"/>
        <v>#REF!</v>
      </c>
      <c r="I28" s="340">
        <v>236350.17226942629</v>
      </c>
      <c r="J28" s="313" t="e">
        <f t="shared" si="2"/>
        <v>#REF!</v>
      </c>
      <c r="K28" s="314" t="e">
        <f t="shared" si="2"/>
        <v>#REF!</v>
      </c>
      <c r="L28" s="315" t="e">
        <f t="shared" si="3"/>
        <v>#REF!</v>
      </c>
      <c r="M28" s="316" t="e">
        <f t="shared" si="4"/>
        <v>#REF!</v>
      </c>
      <c r="N28" s="293"/>
      <c r="O28" s="293"/>
      <c r="P28" s="293"/>
      <c r="Q28" s="293"/>
      <c r="R28" s="293"/>
      <c r="S28" s="118"/>
      <c r="T28" s="293"/>
      <c r="U28" s="304"/>
    </row>
    <row r="29" spans="2:21" ht="15.75" thickBot="1" x14ac:dyDescent="0.3">
      <c r="B29" s="317" t="s">
        <v>65</v>
      </c>
      <c r="C29" s="318" t="e">
        <f t="shared" ref="C29:M29" si="5">SUM(C9:C28)</f>
        <v>#REF!</v>
      </c>
      <c r="D29" s="319" t="e">
        <f t="shared" si="5"/>
        <v>#REF!</v>
      </c>
      <c r="E29" s="337">
        <f t="shared" si="5"/>
        <v>100.00000000000003</v>
      </c>
      <c r="F29" s="65">
        <f t="shared" si="5"/>
        <v>171788586.88500005</v>
      </c>
      <c r="G29" s="66" t="e">
        <f t="shared" si="5"/>
        <v>#REF!</v>
      </c>
      <c r="H29" s="338" t="e">
        <f>SUM(H9:H28)</f>
        <v>#REF!</v>
      </c>
      <c r="I29" s="320"/>
      <c r="J29" s="321" t="e">
        <f>SUM(J9:J28)</f>
        <v>#REF!</v>
      </c>
      <c r="K29" s="322" t="e">
        <f t="shared" si="5"/>
        <v>#REF!</v>
      </c>
      <c r="L29" s="323" t="e">
        <f>SUM(L9:L28)</f>
        <v>#REF!</v>
      </c>
      <c r="M29" s="324" t="e">
        <f t="shared" si="5"/>
        <v>#REF!</v>
      </c>
      <c r="N29" s="293"/>
      <c r="O29" s="293"/>
      <c r="P29" s="293"/>
      <c r="Q29" s="293"/>
      <c r="R29" s="293"/>
      <c r="S29" s="325"/>
      <c r="T29" s="293"/>
      <c r="U29" s="293"/>
    </row>
    <row r="30" spans="2:21" x14ac:dyDescent="0.25">
      <c r="B30" s="8" t="s">
        <v>231</v>
      </c>
      <c r="C30" s="8"/>
      <c r="D30" s="8"/>
      <c r="E30" s="8"/>
      <c r="F30" s="8"/>
      <c r="G30" s="8"/>
      <c r="H30" s="8"/>
      <c r="I30" s="8"/>
      <c r="J30" s="8"/>
      <c r="K30" s="76"/>
      <c r="L30" s="76"/>
      <c r="M30" s="293"/>
      <c r="N30" s="8"/>
      <c r="O30" s="8"/>
      <c r="P30" s="8"/>
      <c r="Q30" s="8"/>
      <c r="R30" s="8"/>
      <c r="S30" s="8"/>
      <c r="T30" s="8"/>
      <c r="U30" s="8"/>
    </row>
    <row r="31" spans="2:21" x14ac:dyDescent="0.25">
      <c r="B31" s="8" t="s">
        <v>232</v>
      </c>
      <c r="C31" s="8"/>
      <c r="D31" s="8"/>
      <c r="E31" s="8"/>
      <c r="F31" s="293"/>
      <c r="G31" s="8"/>
      <c r="H31" s="8"/>
      <c r="I31" s="8"/>
      <c r="J31" s="8"/>
      <c r="K31" s="76"/>
      <c r="L31" s="76"/>
      <c r="M31" s="8"/>
      <c r="N31" s="8"/>
      <c r="O31" s="8"/>
      <c r="P31" s="8"/>
      <c r="Q31" s="8"/>
      <c r="R31" s="8"/>
      <c r="S31" s="8"/>
      <c r="T31" s="8"/>
      <c r="U31" s="8"/>
    </row>
    <row r="32" spans="2:21" x14ac:dyDescent="0.25">
      <c r="B32" s="8"/>
      <c r="C32" s="8"/>
      <c r="D32" s="326"/>
      <c r="E32" s="8"/>
      <c r="F32" s="8"/>
      <c r="G32" s="8"/>
      <c r="H32" s="8"/>
      <c r="I32" s="136">
        <f>SUM(I9:I28)</f>
        <v>4921983.8999999026</v>
      </c>
      <c r="J32" s="8"/>
      <c r="K32" s="76"/>
      <c r="L32" s="76"/>
      <c r="M32" s="8"/>
      <c r="N32" s="8"/>
      <c r="O32" s="8"/>
      <c r="P32" s="8"/>
      <c r="Q32" s="8"/>
      <c r="R32" s="8"/>
      <c r="S32" s="8"/>
      <c r="T32" s="8"/>
      <c r="U32" s="8"/>
    </row>
    <row r="33" spans="2:6" hidden="1" x14ac:dyDescent="0.25">
      <c r="B33" s="8"/>
      <c r="C33" s="8"/>
      <c r="D33" s="8"/>
      <c r="E33" s="8"/>
      <c r="F33" s="8"/>
    </row>
    <row r="34" spans="2:6" hidden="1" x14ac:dyDescent="0.25">
      <c r="B34" s="1125" t="s">
        <v>233</v>
      </c>
      <c r="C34" s="1125"/>
      <c r="D34" s="1125"/>
      <c r="E34" s="8"/>
      <c r="F34" s="8"/>
    </row>
    <row r="35" spans="2:6" ht="15" hidden="1" customHeight="1" x14ac:dyDescent="0.25">
      <c r="B35" s="1273" t="s">
        <v>234</v>
      </c>
      <c r="C35" s="995" t="s">
        <v>24</v>
      </c>
      <c r="D35" s="995"/>
      <c r="E35" s="8"/>
      <c r="F35" s="8"/>
    </row>
    <row r="36" spans="2:6" hidden="1" x14ac:dyDescent="0.25">
      <c r="B36" s="1273"/>
      <c r="C36" s="253" t="s">
        <v>235</v>
      </c>
      <c r="D36" s="253" t="s">
        <v>236</v>
      </c>
      <c r="E36" s="8"/>
      <c r="F36" s="8"/>
    </row>
    <row r="37" spans="2:6" hidden="1" x14ac:dyDescent="0.25">
      <c r="B37" s="327" t="s">
        <v>45</v>
      </c>
      <c r="C37" s="206">
        <v>29974.498347254703</v>
      </c>
      <c r="D37" s="206">
        <v>15215.818184990858</v>
      </c>
      <c r="E37" s="144"/>
      <c r="F37" s="145"/>
    </row>
    <row r="38" spans="2:6" hidden="1" x14ac:dyDescent="0.25">
      <c r="B38" s="327" t="s">
        <v>46</v>
      </c>
      <c r="C38" s="206">
        <v>52680.591327376627</v>
      </c>
      <c r="D38" s="206">
        <v>21399.49763849939</v>
      </c>
      <c r="E38" s="144"/>
      <c r="F38" s="145"/>
    </row>
    <row r="39" spans="2:6" hidden="1" x14ac:dyDescent="0.25">
      <c r="B39" s="327" t="s">
        <v>47</v>
      </c>
      <c r="C39" s="206">
        <v>98033.370647845295</v>
      </c>
      <c r="D39" s="206">
        <v>21647.119796160252</v>
      </c>
      <c r="E39" s="144"/>
      <c r="F39" s="145"/>
    </row>
    <row r="40" spans="2:6" hidden="1" x14ac:dyDescent="0.25">
      <c r="B40" s="327" t="s">
        <v>48</v>
      </c>
      <c r="C40" s="206">
        <v>21399.49763849939</v>
      </c>
      <c r="D40" s="206">
        <v>25965.384823886736</v>
      </c>
      <c r="E40" s="144"/>
      <c r="F40" s="145"/>
    </row>
    <row r="41" spans="2:6" hidden="1" x14ac:dyDescent="0.25">
      <c r="B41" s="327" t="s">
        <v>49</v>
      </c>
      <c r="C41" s="206">
        <v>25965.384823886736</v>
      </c>
      <c r="D41" s="206">
        <v>27212.070679317905</v>
      </c>
      <c r="E41" s="144"/>
      <c r="F41" s="145"/>
    </row>
    <row r="42" spans="2:6" hidden="1" x14ac:dyDescent="0.25">
      <c r="B42" s="327" t="s">
        <v>50</v>
      </c>
      <c r="C42" s="206">
        <v>37003.826900566906</v>
      </c>
      <c r="D42" s="206">
        <v>29974.498347254703</v>
      </c>
      <c r="E42" s="144"/>
      <c r="F42" s="145"/>
    </row>
    <row r="43" spans="2:6" hidden="1" x14ac:dyDescent="0.25">
      <c r="B43" s="327" t="s">
        <v>51</v>
      </c>
      <c r="C43" s="206">
        <v>79580.165950345632</v>
      </c>
      <c r="D43" s="206">
        <v>32584.151507048995</v>
      </c>
      <c r="E43" s="144"/>
      <c r="F43" s="145"/>
    </row>
    <row r="44" spans="2:6" hidden="1" x14ac:dyDescent="0.25">
      <c r="B44" s="327" t="s">
        <v>52</v>
      </c>
      <c r="C44" s="206">
        <v>33772.177205488624</v>
      </c>
      <c r="D44" s="206">
        <v>33772.177205488624</v>
      </c>
      <c r="E44" s="144"/>
      <c r="F44" s="145"/>
    </row>
    <row r="45" spans="2:6" hidden="1" x14ac:dyDescent="0.25">
      <c r="B45" s="327" t="s">
        <v>53</v>
      </c>
      <c r="C45" s="206">
        <v>45225.633132002353</v>
      </c>
      <c r="D45" s="206">
        <v>36708.177999525833</v>
      </c>
      <c r="E45" s="144"/>
      <c r="F45" s="145"/>
    </row>
    <row r="46" spans="2:6" hidden="1" x14ac:dyDescent="0.25">
      <c r="B46" s="327" t="s">
        <v>54</v>
      </c>
      <c r="C46" s="206">
        <v>63112.329754147126</v>
      </c>
      <c r="D46" s="206">
        <v>37003.826900566906</v>
      </c>
      <c r="E46" s="144"/>
      <c r="F46" s="145"/>
    </row>
    <row r="47" spans="2:6" hidden="1" x14ac:dyDescent="0.25">
      <c r="B47" s="327" t="s">
        <v>55</v>
      </c>
      <c r="C47" s="206">
        <v>39704.639733971853</v>
      </c>
      <c r="D47" s="206">
        <v>39704.639733971853</v>
      </c>
      <c r="E47" s="144"/>
      <c r="F47" s="145"/>
    </row>
    <row r="48" spans="2:6" hidden="1" x14ac:dyDescent="0.25">
      <c r="B48" s="327" t="s">
        <v>56</v>
      </c>
      <c r="C48" s="206">
        <v>44506.829771857942</v>
      </c>
      <c r="D48" s="206">
        <v>43192.395279627446</v>
      </c>
      <c r="E48" s="144"/>
      <c r="F48" s="145"/>
    </row>
    <row r="49" spans="2:12" hidden="1" x14ac:dyDescent="0.25">
      <c r="B49" s="327" t="s">
        <v>57</v>
      </c>
      <c r="C49" s="206">
        <v>32584.151507048995</v>
      </c>
      <c r="D49" s="206">
        <v>44506.829771857942</v>
      </c>
      <c r="E49" s="144"/>
      <c r="F49" s="145"/>
      <c r="G49" s="8"/>
      <c r="H49" s="8"/>
      <c r="I49" s="8"/>
      <c r="J49" s="8"/>
      <c r="K49" s="76"/>
      <c r="L49" s="76"/>
    </row>
    <row r="50" spans="2:12" hidden="1" x14ac:dyDescent="0.25">
      <c r="B50" s="327" t="s">
        <v>58</v>
      </c>
      <c r="C50" s="206">
        <v>268831.41005360917</v>
      </c>
      <c r="D50" s="206">
        <v>45225.633132002353</v>
      </c>
      <c r="E50" s="144"/>
      <c r="F50" s="145"/>
      <c r="G50" s="8"/>
      <c r="H50" s="8"/>
      <c r="I50" s="8"/>
      <c r="J50" s="8"/>
      <c r="K50" s="76"/>
      <c r="L50" s="76"/>
    </row>
    <row r="51" spans="2:12" hidden="1" x14ac:dyDescent="0.25">
      <c r="B51" s="327" t="s">
        <v>59</v>
      </c>
      <c r="C51" s="206">
        <v>46347.41126647652</v>
      </c>
      <c r="D51" s="206">
        <v>46347.41126647652</v>
      </c>
      <c r="E51" s="144"/>
      <c r="F51" s="145"/>
      <c r="G51" s="8"/>
      <c r="H51" s="8"/>
      <c r="I51" s="8"/>
      <c r="J51" s="8"/>
      <c r="K51" s="76"/>
      <c r="L51" s="76"/>
    </row>
    <row r="52" spans="2:12" hidden="1" x14ac:dyDescent="0.25">
      <c r="B52" s="327" t="s">
        <v>60</v>
      </c>
      <c r="C52" s="206">
        <v>21647.119796160252</v>
      </c>
      <c r="D52" s="206">
        <v>52680.591327376627</v>
      </c>
      <c r="E52" s="144"/>
      <c r="F52" s="145"/>
      <c r="G52" s="8"/>
      <c r="H52" s="8"/>
      <c r="I52" s="8"/>
      <c r="J52" s="8"/>
      <c r="K52" s="76"/>
      <c r="L52" s="76"/>
    </row>
    <row r="53" spans="2:12" hidden="1" x14ac:dyDescent="0.25">
      <c r="B53" s="327" t="s">
        <v>61</v>
      </c>
      <c r="C53" s="206">
        <v>36708.177999525833</v>
      </c>
      <c r="D53" s="206">
        <v>63112.329754147126</v>
      </c>
      <c r="E53" s="144"/>
      <c r="F53" s="145"/>
      <c r="G53" s="8"/>
      <c r="H53" s="8"/>
      <c r="I53" s="8"/>
      <c r="J53" s="8"/>
      <c r="K53" s="76"/>
      <c r="L53" s="76"/>
    </row>
    <row r="54" spans="2:12" hidden="1" x14ac:dyDescent="0.25">
      <c r="B54" s="327" t="s">
        <v>62</v>
      </c>
      <c r="C54" s="206">
        <v>15215.818184990858</v>
      </c>
      <c r="D54" s="206">
        <v>79580.165950345632</v>
      </c>
      <c r="E54" s="144"/>
      <c r="F54" s="145"/>
      <c r="G54" s="8"/>
      <c r="H54" s="8"/>
      <c r="I54" s="8"/>
      <c r="J54" s="8"/>
      <c r="K54" s="76"/>
      <c r="L54" s="76"/>
    </row>
    <row r="55" spans="2:12" hidden="1" x14ac:dyDescent="0.25">
      <c r="B55" s="327" t="s">
        <v>63</v>
      </c>
      <c r="C55" s="206">
        <v>43192.395279627446</v>
      </c>
      <c r="D55" s="206">
        <v>98033.370647845295</v>
      </c>
      <c r="E55" s="144"/>
      <c r="F55" s="145"/>
      <c r="G55" s="8"/>
      <c r="H55" s="8"/>
      <c r="I55" s="8"/>
      <c r="J55" s="8"/>
      <c r="K55" s="76"/>
      <c r="L55" s="76"/>
    </row>
    <row r="56" spans="2:12" hidden="1" x14ac:dyDescent="0.25">
      <c r="B56" s="327" t="s">
        <v>64</v>
      </c>
      <c r="C56" s="206">
        <v>27212.070679317905</v>
      </c>
      <c r="D56" s="206">
        <v>268831.41005360917</v>
      </c>
      <c r="E56" s="144"/>
      <c r="F56" s="145"/>
      <c r="G56" s="8"/>
      <c r="H56" s="8"/>
      <c r="I56" s="8"/>
      <c r="J56" s="8"/>
      <c r="K56" s="76"/>
      <c r="L56" s="76"/>
    </row>
    <row r="57" spans="2:12" hidden="1" x14ac:dyDescent="0.25">
      <c r="B57" s="327" t="s">
        <v>82</v>
      </c>
      <c r="C57" s="206">
        <f>SUM(C37:C56)</f>
        <v>1062697.5000000002</v>
      </c>
      <c r="D57" s="206">
        <f>SUM(D37:D56)</f>
        <v>1062697.5000000002</v>
      </c>
      <c r="E57" s="144"/>
      <c r="F57" s="154"/>
      <c r="G57" s="8"/>
      <c r="H57" s="8"/>
      <c r="I57" s="8"/>
      <c r="J57" s="8"/>
      <c r="K57" s="76"/>
      <c r="L57" s="76"/>
    </row>
    <row r="58" spans="2:12" hidden="1" x14ac:dyDescent="0.25">
      <c r="B58" s="8"/>
      <c r="C58" s="8"/>
      <c r="D58" s="8"/>
      <c r="E58" s="8"/>
      <c r="F58" s="8"/>
      <c r="G58" s="8"/>
      <c r="H58" s="8"/>
      <c r="I58" s="8"/>
      <c r="J58" s="8"/>
      <c r="K58" s="76"/>
      <c r="L58" s="76"/>
    </row>
    <row r="59" spans="2:12" x14ac:dyDescent="0.25">
      <c r="C59" s="8"/>
      <c r="D59" s="8"/>
      <c r="E59" s="8"/>
      <c r="F59" s="8"/>
      <c r="G59" s="8"/>
      <c r="H59" s="8"/>
      <c r="I59" s="8"/>
      <c r="J59" s="8"/>
      <c r="K59" s="76"/>
      <c r="L59" s="76"/>
    </row>
    <row r="60" spans="2:12" x14ac:dyDescent="0.25">
      <c r="B60" s="8"/>
      <c r="C60" s="8"/>
      <c r="D60" s="8"/>
      <c r="E60" s="8"/>
      <c r="F60" s="8"/>
      <c r="G60" s="8"/>
      <c r="H60" s="8"/>
      <c r="I60" s="8"/>
      <c r="J60" s="8"/>
      <c r="K60" s="76"/>
      <c r="L60" s="76"/>
    </row>
    <row r="61" spans="2:12" ht="15.75" hidden="1" x14ac:dyDescent="0.25">
      <c r="B61" s="962" t="s">
        <v>116</v>
      </c>
      <c r="C61" s="962"/>
      <c r="D61" s="962"/>
      <c r="E61" s="962"/>
      <c r="F61" s="962"/>
      <c r="G61" s="962"/>
      <c r="H61" s="962"/>
      <c r="I61" s="251"/>
      <c r="J61" s="251"/>
      <c r="K61" s="252"/>
      <c r="L61" s="252"/>
    </row>
    <row r="62" spans="2:12" hidden="1" x14ac:dyDescent="0.25">
      <c r="B62" s="8"/>
      <c r="C62" s="8"/>
      <c r="D62" s="8"/>
      <c r="E62" s="8"/>
      <c r="F62" s="8"/>
      <c r="G62" s="8"/>
      <c r="H62" s="8"/>
      <c r="I62" s="8"/>
      <c r="J62" s="8"/>
      <c r="K62" s="76"/>
      <c r="L62" s="76"/>
    </row>
    <row r="63" spans="2:12" hidden="1" x14ac:dyDescent="0.25">
      <c r="B63" s="1268" t="s">
        <v>83</v>
      </c>
      <c r="C63" s="105" t="s">
        <v>84</v>
      </c>
      <c r="D63" s="105" t="s">
        <v>20</v>
      </c>
      <c r="E63" s="137" t="s">
        <v>118</v>
      </c>
      <c r="F63" s="137" t="s">
        <v>82</v>
      </c>
      <c r="G63" s="105" t="s">
        <v>119</v>
      </c>
      <c r="H63" s="105" t="s">
        <v>120</v>
      </c>
      <c r="I63" s="254"/>
      <c r="J63" s="254"/>
      <c r="K63" s="76"/>
      <c r="L63" s="76"/>
    </row>
    <row r="64" spans="2:12" hidden="1" x14ac:dyDescent="0.25">
      <c r="B64" s="1269"/>
      <c r="C64" s="22" t="s">
        <v>89</v>
      </c>
      <c r="D64" s="22" t="s">
        <v>30</v>
      </c>
      <c r="E64" s="138" t="s">
        <v>122</v>
      </c>
      <c r="F64" s="138" t="s">
        <v>237</v>
      </c>
      <c r="G64" s="22" t="s">
        <v>124</v>
      </c>
      <c r="H64" s="22" t="s">
        <v>125</v>
      </c>
      <c r="I64" s="254"/>
      <c r="J64" s="254"/>
      <c r="K64" s="76"/>
      <c r="L64" s="76"/>
    </row>
    <row r="65" spans="2:10" hidden="1" x14ac:dyDescent="0.25">
      <c r="B65" s="1269"/>
      <c r="C65" s="139">
        <v>2014</v>
      </c>
      <c r="D65" s="139" t="s">
        <v>36</v>
      </c>
      <c r="E65" s="138">
        <v>2015</v>
      </c>
      <c r="F65" s="138" t="s">
        <v>129</v>
      </c>
      <c r="G65" s="22">
        <v>2014</v>
      </c>
      <c r="H65" s="22" t="s">
        <v>130</v>
      </c>
      <c r="I65" s="254"/>
      <c r="J65" s="254"/>
    </row>
    <row r="66" spans="2:10" hidden="1" x14ac:dyDescent="0.25">
      <c r="B66" s="1270"/>
      <c r="C66" s="140" t="s">
        <v>70</v>
      </c>
      <c r="D66" s="140" t="s">
        <v>97</v>
      </c>
      <c r="E66" s="140" t="s">
        <v>71</v>
      </c>
      <c r="F66" s="140" t="s">
        <v>98</v>
      </c>
      <c r="G66" s="140" t="s">
        <v>73</v>
      </c>
      <c r="H66" s="140" t="s">
        <v>100</v>
      </c>
      <c r="I66" s="161"/>
      <c r="J66" s="161"/>
    </row>
    <row r="67" spans="2:10" hidden="1" x14ac:dyDescent="0.25">
      <c r="B67" s="141" t="s">
        <v>45</v>
      </c>
      <c r="C67" s="142">
        <v>3.62</v>
      </c>
      <c r="D67" s="328">
        <f>[6]Datos!I$13*C67%</f>
        <v>35350314.182820007</v>
      </c>
      <c r="E67" s="293" t="e">
        <f>M9</f>
        <v>#REF!</v>
      </c>
      <c r="F67" s="170" t="e">
        <f>D67+E67</f>
        <v>#REF!</v>
      </c>
      <c r="G67" s="170" t="e">
        <f>F$87*C67%</f>
        <v>#REF!</v>
      </c>
      <c r="H67" s="329" t="e">
        <f>F67-G67</f>
        <v>#REF!</v>
      </c>
      <c r="I67" s="329"/>
      <c r="J67" s="329"/>
    </row>
    <row r="68" spans="2:10" hidden="1" x14ac:dyDescent="0.25">
      <c r="B68" s="144" t="s">
        <v>46</v>
      </c>
      <c r="C68" s="118">
        <v>2.4700000000000002</v>
      </c>
      <c r="D68" s="330">
        <f>[6]Datos!I$13*C68%</f>
        <v>24120241.997670002</v>
      </c>
      <c r="E68" s="293" t="e">
        <f t="shared" ref="E68:E87" si="6">M10</f>
        <v>#REF!</v>
      </c>
      <c r="F68" s="170" t="e">
        <f t="shared" ref="F68:F87" si="7">D68+E68</f>
        <v>#REF!</v>
      </c>
      <c r="G68" s="170" t="e">
        <f t="shared" ref="G68:G87" si="8">F$87*C68%</f>
        <v>#REF!</v>
      </c>
      <c r="H68" s="329" t="e">
        <f t="shared" ref="H68:H86" si="9">F68-G68</f>
        <v>#REF!</v>
      </c>
      <c r="I68" s="329"/>
      <c r="J68" s="329"/>
    </row>
    <row r="69" spans="2:10" hidden="1" x14ac:dyDescent="0.25">
      <c r="B69" s="144" t="s">
        <v>47</v>
      </c>
      <c r="C69" s="118">
        <v>2.33</v>
      </c>
      <c r="D69" s="330">
        <f>[6]Datos!I$13*C69%</f>
        <v>22753102.77513</v>
      </c>
      <c r="E69" s="293" t="e">
        <f t="shared" si="6"/>
        <v>#REF!</v>
      </c>
      <c r="F69" s="170" t="e">
        <f t="shared" si="7"/>
        <v>#REF!</v>
      </c>
      <c r="G69" s="170" t="e">
        <f t="shared" si="8"/>
        <v>#REF!</v>
      </c>
      <c r="H69" s="329" t="e">
        <f t="shared" si="9"/>
        <v>#REF!</v>
      </c>
      <c r="I69" s="329"/>
      <c r="J69" s="329"/>
    </row>
    <row r="70" spans="2:10" hidden="1" x14ac:dyDescent="0.25">
      <c r="B70" s="144" t="s">
        <v>48</v>
      </c>
      <c r="C70" s="118">
        <v>2.81</v>
      </c>
      <c r="D70" s="330">
        <f>[6]Datos!I$13*C70%</f>
        <v>27440437.252410002</v>
      </c>
      <c r="E70" s="293" t="e">
        <f t="shared" si="6"/>
        <v>#REF!</v>
      </c>
      <c r="F70" s="170" t="e">
        <f t="shared" si="7"/>
        <v>#REF!</v>
      </c>
      <c r="G70" s="170" t="e">
        <f t="shared" si="8"/>
        <v>#REF!</v>
      </c>
      <c r="H70" s="329" t="e">
        <f t="shared" si="9"/>
        <v>#REF!</v>
      </c>
      <c r="I70" s="329"/>
      <c r="J70" s="329"/>
    </row>
    <row r="71" spans="2:10" hidden="1" x14ac:dyDescent="0.25">
      <c r="B71" s="144" t="s">
        <v>49</v>
      </c>
      <c r="C71" s="118">
        <v>4.6399999999999997</v>
      </c>
      <c r="D71" s="330">
        <f>[6]Datos!I$13*C71%</f>
        <v>45310899.947039999</v>
      </c>
      <c r="E71" s="293" t="e">
        <f t="shared" si="6"/>
        <v>#REF!</v>
      </c>
      <c r="F71" s="170" t="e">
        <f t="shared" si="7"/>
        <v>#REF!</v>
      </c>
      <c r="G71" s="170" t="e">
        <f t="shared" si="8"/>
        <v>#REF!</v>
      </c>
      <c r="H71" s="329" t="e">
        <f t="shared" si="9"/>
        <v>#REF!</v>
      </c>
      <c r="I71" s="329"/>
      <c r="J71" s="329"/>
    </row>
    <row r="72" spans="2:10" hidden="1" x14ac:dyDescent="0.25">
      <c r="B72" s="144" t="s">
        <v>50</v>
      </c>
      <c r="C72" s="118">
        <v>1.5</v>
      </c>
      <c r="D72" s="330">
        <f>[6]Datos!I$13*C72%</f>
        <v>14647920.2415</v>
      </c>
      <c r="E72" s="293" t="e">
        <f t="shared" si="6"/>
        <v>#REF!</v>
      </c>
      <c r="F72" s="170" t="e">
        <f t="shared" si="7"/>
        <v>#REF!</v>
      </c>
      <c r="G72" s="170" t="e">
        <f t="shared" si="8"/>
        <v>#REF!</v>
      </c>
      <c r="H72" s="329" t="e">
        <f t="shared" si="9"/>
        <v>#REF!</v>
      </c>
      <c r="I72" s="329"/>
      <c r="J72" s="329"/>
    </row>
    <row r="73" spans="2:10" hidden="1" x14ac:dyDescent="0.25">
      <c r="B73" s="144" t="s">
        <v>51</v>
      </c>
      <c r="C73" s="118">
        <v>1.53</v>
      </c>
      <c r="D73" s="330">
        <f>[6]Datos!I$13*C73%</f>
        <v>14940878.646330001</v>
      </c>
      <c r="E73" s="293" t="e">
        <f t="shared" si="6"/>
        <v>#REF!</v>
      </c>
      <c r="F73" s="170" t="e">
        <f t="shared" si="7"/>
        <v>#REF!</v>
      </c>
      <c r="G73" s="170" t="e">
        <f t="shared" si="8"/>
        <v>#REF!</v>
      </c>
      <c r="H73" s="329" t="e">
        <f t="shared" si="9"/>
        <v>#REF!</v>
      </c>
      <c r="I73" s="329"/>
      <c r="J73" s="329"/>
    </row>
    <row r="74" spans="2:10" hidden="1" x14ac:dyDescent="0.25">
      <c r="B74" s="144" t="s">
        <v>52</v>
      </c>
      <c r="C74" s="118">
        <v>3.16</v>
      </c>
      <c r="D74" s="330">
        <f>[6]Datos!I$13*C74%</f>
        <v>30858285.308760002</v>
      </c>
      <c r="E74" s="293" t="e">
        <f t="shared" si="6"/>
        <v>#REF!</v>
      </c>
      <c r="F74" s="170" t="e">
        <f t="shared" si="7"/>
        <v>#REF!</v>
      </c>
      <c r="G74" s="170" t="e">
        <f t="shared" si="8"/>
        <v>#REF!</v>
      </c>
      <c r="H74" s="329" t="e">
        <f t="shared" si="9"/>
        <v>#REF!</v>
      </c>
      <c r="I74" s="329"/>
      <c r="J74" s="329"/>
    </row>
    <row r="75" spans="2:10" hidden="1" x14ac:dyDescent="0.25">
      <c r="B75" s="144" t="s">
        <v>53</v>
      </c>
      <c r="C75" s="118">
        <v>2.81</v>
      </c>
      <c r="D75" s="330">
        <f>[6]Datos!I$13*C75%</f>
        <v>27440437.252410002</v>
      </c>
      <c r="E75" s="293" t="e">
        <f t="shared" si="6"/>
        <v>#REF!</v>
      </c>
      <c r="F75" s="170" t="e">
        <f t="shared" si="7"/>
        <v>#REF!</v>
      </c>
      <c r="G75" s="170" t="e">
        <f t="shared" si="8"/>
        <v>#REF!</v>
      </c>
      <c r="H75" s="329" t="e">
        <f t="shared" si="9"/>
        <v>#REF!</v>
      </c>
      <c r="I75" s="329"/>
      <c r="J75" s="329"/>
    </row>
    <row r="76" spans="2:10" hidden="1" x14ac:dyDescent="0.25">
      <c r="B76" s="144" t="s">
        <v>54</v>
      </c>
      <c r="C76" s="118">
        <v>1.6</v>
      </c>
      <c r="D76" s="330">
        <f>[6]Datos!I$13*C76%</f>
        <v>15624448.2576</v>
      </c>
      <c r="E76" s="293" t="e">
        <f t="shared" si="6"/>
        <v>#REF!</v>
      </c>
      <c r="F76" s="170" t="e">
        <f t="shared" si="7"/>
        <v>#REF!</v>
      </c>
      <c r="G76" s="170" t="e">
        <f t="shared" si="8"/>
        <v>#REF!</v>
      </c>
      <c r="H76" s="329" t="e">
        <f t="shared" si="9"/>
        <v>#REF!</v>
      </c>
      <c r="I76" s="329"/>
      <c r="J76" s="329"/>
    </row>
    <row r="77" spans="2:10" hidden="1" x14ac:dyDescent="0.25">
      <c r="B77" s="144" t="s">
        <v>55</v>
      </c>
      <c r="C77" s="118">
        <v>2.84</v>
      </c>
      <c r="D77" s="330">
        <f>[6]Datos!I$13*C77%</f>
        <v>27733395.65724</v>
      </c>
      <c r="E77" s="293" t="e">
        <f t="shared" si="6"/>
        <v>#REF!</v>
      </c>
      <c r="F77" s="170" t="e">
        <f t="shared" si="7"/>
        <v>#REF!</v>
      </c>
      <c r="G77" s="170" t="e">
        <f t="shared" si="8"/>
        <v>#REF!</v>
      </c>
      <c r="H77" s="329" t="e">
        <f t="shared" si="9"/>
        <v>#REF!</v>
      </c>
      <c r="I77" s="329"/>
      <c r="J77" s="329"/>
    </row>
    <row r="78" spans="2:10" hidden="1" x14ac:dyDescent="0.25">
      <c r="B78" s="144" t="s">
        <v>56</v>
      </c>
      <c r="C78" s="118">
        <v>3.33</v>
      </c>
      <c r="D78" s="330">
        <f>[6]Datos!I$13*C78%</f>
        <v>32518382.936130002</v>
      </c>
      <c r="E78" s="293" t="e">
        <f t="shared" si="6"/>
        <v>#REF!</v>
      </c>
      <c r="F78" s="170" t="e">
        <f t="shared" si="7"/>
        <v>#REF!</v>
      </c>
      <c r="G78" s="170" t="e">
        <f t="shared" si="8"/>
        <v>#REF!</v>
      </c>
      <c r="H78" s="331" t="e">
        <f t="shared" si="9"/>
        <v>#REF!</v>
      </c>
      <c r="I78" s="331"/>
      <c r="J78" s="331"/>
    </row>
    <row r="79" spans="2:10" hidden="1" x14ac:dyDescent="0.25">
      <c r="B79" s="144" t="s">
        <v>57</v>
      </c>
      <c r="C79" s="118">
        <v>4.6900000000000004</v>
      </c>
      <c r="D79" s="330">
        <f>[6]Datos!I$13*C79%</f>
        <v>45799163.955090009</v>
      </c>
      <c r="E79" s="293" t="e">
        <f t="shared" si="6"/>
        <v>#REF!</v>
      </c>
      <c r="F79" s="170" t="e">
        <f t="shared" si="7"/>
        <v>#REF!</v>
      </c>
      <c r="G79" s="170" t="e">
        <f t="shared" si="8"/>
        <v>#REF!</v>
      </c>
      <c r="H79" s="331" t="e">
        <f t="shared" si="9"/>
        <v>#REF!</v>
      </c>
      <c r="I79" s="331"/>
      <c r="J79" s="331"/>
    </row>
    <row r="80" spans="2:10" hidden="1" x14ac:dyDescent="0.25">
      <c r="B80" s="144" t="s">
        <v>58</v>
      </c>
      <c r="C80" s="118">
        <v>2.13</v>
      </c>
      <c r="D80" s="330">
        <f>[6]Datos!I$13*C80%</f>
        <v>20800046.742929999</v>
      </c>
      <c r="E80" s="293" t="e">
        <f t="shared" si="6"/>
        <v>#REF!</v>
      </c>
      <c r="F80" s="170" t="e">
        <f t="shared" si="7"/>
        <v>#REF!</v>
      </c>
      <c r="G80" s="170" t="e">
        <f t="shared" si="8"/>
        <v>#REF!</v>
      </c>
      <c r="H80" s="329" t="e">
        <f t="shared" si="9"/>
        <v>#REF!</v>
      </c>
      <c r="I80" s="329"/>
      <c r="J80" s="329"/>
    </row>
    <row r="81" spans="2:10" hidden="1" x14ac:dyDescent="0.25">
      <c r="B81" s="144" t="s">
        <v>59</v>
      </c>
      <c r="C81" s="118">
        <v>2.81</v>
      </c>
      <c r="D81" s="330">
        <f>[6]Datos!I$13*C81%</f>
        <v>27440437.252410002</v>
      </c>
      <c r="E81" s="293" t="e">
        <f t="shared" si="6"/>
        <v>#REF!</v>
      </c>
      <c r="F81" s="170" t="e">
        <f t="shared" si="7"/>
        <v>#REF!</v>
      </c>
      <c r="G81" s="170" t="e">
        <f t="shared" si="8"/>
        <v>#REF!</v>
      </c>
      <c r="H81" s="329" t="e">
        <f t="shared" si="9"/>
        <v>#REF!</v>
      </c>
      <c r="I81" s="329"/>
      <c r="J81" s="329"/>
    </row>
    <row r="82" spans="2:10" hidden="1" x14ac:dyDescent="0.25">
      <c r="B82" s="144" t="s">
        <v>60</v>
      </c>
      <c r="C82" s="118">
        <v>8.34</v>
      </c>
      <c r="D82" s="330">
        <f>[6]Datos!I$13*C82%</f>
        <v>81442436.542740002</v>
      </c>
      <c r="E82" s="293" t="e">
        <f t="shared" si="6"/>
        <v>#REF!</v>
      </c>
      <c r="F82" s="170" t="e">
        <f t="shared" si="7"/>
        <v>#REF!</v>
      </c>
      <c r="G82" s="170" t="e">
        <f t="shared" si="8"/>
        <v>#REF!</v>
      </c>
      <c r="H82" s="331" t="e">
        <f t="shared" si="9"/>
        <v>#REF!</v>
      </c>
      <c r="I82" s="331"/>
      <c r="J82" s="331"/>
    </row>
    <row r="83" spans="2:10" hidden="1" x14ac:dyDescent="0.25">
      <c r="B83" s="144" t="s">
        <v>61</v>
      </c>
      <c r="C83" s="118">
        <v>3.5</v>
      </c>
      <c r="D83" s="330">
        <f>[6]Datos!I$13*C83%</f>
        <v>34178480.563500002</v>
      </c>
      <c r="E83" s="293" t="e">
        <f t="shared" si="6"/>
        <v>#REF!</v>
      </c>
      <c r="F83" s="170" t="e">
        <f t="shared" si="7"/>
        <v>#REF!</v>
      </c>
      <c r="G83" s="170" t="e">
        <f t="shared" si="8"/>
        <v>#REF!</v>
      </c>
      <c r="H83" s="329" t="e">
        <f t="shared" si="9"/>
        <v>#REF!</v>
      </c>
      <c r="I83" s="329"/>
      <c r="J83" s="329"/>
    </row>
    <row r="84" spans="2:10" hidden="1" x14ac:dyDescent="0.25">
      <c r="B84" s="144" t="s">
        <v>62</v>
      </c>
      <c r="C84" s="118">
        <v>39</v>
      </c>
      <c r="D84" s="330">
        <f>[6]Datos!I$13*C84%</f>
        <v>380845926.27900004</v>
      </c>
      <c r="E84" s="293" t="e">
        <f t="shared" si="6"/>
        <v>#REF!</v>
      </c>
      <c r="F84" s="170" t="e">
        <f t="shared" si="7"/>
        <v>#REF!</v>
      </c>
      <c r="G84" s="170" t="e">
        <f t="shared" si="8"/>
        <v>#REF!</v>
      </c>
      <c r="H84" s="331" t="e">
        <f t="shared" si="9"/>
        <v>#REF!</v>
      </c>
      <c r="I84" s="331"/>
      <c r="J84" s="331"/>
    </row>
    <row r="85" spans="2:10" hidden="1" x14ac:dyDescent="0.25">
      <c r="B85" s="144" t="s">
        <v>63</v>
      </c>
      <c r="C85" s="118">
        <v>3.79</v>
      </c>
      <c r="D85" s="330">
        <f>[6]Datos!I$13*C85%</f>
        <v>37010411.810190007</v>
      </c>
      <c r="E85" s="293" t="e">
        <f t="shared" si="6"/>
        <v>#REF!</v>
      </c>
      <c r="F85" s="170" t="e">
        <f t="shared" si="7"/>
        <v>#REF!</v>
      </c>
      <c r="G85" s="170" t="e">
        <f t="shared" si="8"/>
        <v>#REF!</v>
      </c>
      <c r="H85" s="331" t="e">
        <f t="shared" si="9"/>
        <v>#REF!</v>
      </c>
      <c r="I85" s="331"/>
      <c r="J85" s="331"/>
    </row>
    <row r="86" spans="2:10" hidden="1" x14ac:dyDescent="0.25">
      <c r="B86" s="144" t="s">
        <v>64</v>
      </c>
      <c r="C86" s="118">
        <v>3.1</v>
      </c>
      <c r="D86" s="330">
        <f>[6]Datos!I$13*C86%</f>
        <v>30272368.4991</v>
      </c>
      <c r="E86" s="293" t="e">
        <f t="shared" si="6"/>
        <v>#REF!</v>
      </c>
      <c r="F86" s="170" t="e">
        <f t="shared" si="7"/>
        <v>#REF!</v>
      </c>
      <c r="G86" s="170" t="e">
        <f t="shared" si="8"/>
        <v>#REF!</v>
      </c>
      <c r="H86" s="329" t="e">
        <f t="shared" si="9"/>
        <v>#REF!</v>
      </c>
      <c r="I86" s="329"/>
      <c r="J86" s="329"/>
    </row>
    <row r="87" spans="2:10" hidden="1" x14ac:dyDescent="0.25">
      <c r="B87" s="146" t="s">
        <v>65</v>
      </c>
      <c r="C87" s="147">
        <f>SUM(C67:C86)</f>
        <v>100</v>
      </c>
      <c r="D87" s="271">
        <f>SUM(D67:D86)</f>
        <v>976528016.0999999</v>
      </c>
      <c r="E87" s="332" t="e">
        <f t="shared" si="6"/>
        <v>#REF!</v>
      </c>
      <c r="F87" s="333" t="e">
        <f t="shared" si="7"/>
        <v>#REF!</v>
      </c>
      <c r="G87" s="333" t="e">
        <f t="shared" si="8"/>
        <v>#REF!</v>
      </c>
      <c r="H87" s="334">
        <v>0</v>
      </c>
      <c r="I87" s="335"/>
      <c r="J87" s="335"/>
    </row>
    <row r="88" spans="2:10" x14ac:dyDescent="0.25">
      <c r="B88" s="8"/>
      <c r="C88" s="8"/>
      <c r="D88" s="8"/>
      <c r="E88" s="8"/>
      <c r="F88" s="8"/>
      <c r="G88" s="8"/>
      <c r="H88" s="8"/>
      <c r="I88" s="8"/>
      <c r="J88" s="8"/>
    </row>
  </sheetData>
  <mergeCells count="12">
    <mergeCell ref="B3:M3"/>
    <mergeCell ref="B4:M4"/>
    <mergeCell ref="B5:B8"/>
    <mergeCell ref="C5:D5"/>
    <mergeCell ref="E5:F5"/>
    <mergeCell ref="C6:D6"/>
    <mergeCell ref="E6:F6"/>
    <mergeCell ref="B34:D34"/>
    <mergeCell ref="B35:B36"/>
    <mergeCell ref="C35:D35"/>
    <mergeCell ref="B61:H61"/>
    <mergeCell ref="B63:B66"/>
  </mergeCells>
  <pageMargins left="0.70866141732283472" right="0.70866141732283472" top="0.74803149606299213" bottom="0.74803149606299213" header="0.31496062992125984" footer="0.31496062992125984"/>
  <pageSetup scale="67"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B1:U35"/>
  <sheetViews>
    <sheetView zoomScaleNormal="100" workbookViewId="0">
      <selection activeCell="B1" sqref="B1:L1"/>
    </sheetView>
  </sheetViews>
  <sheetFormatPr baseColWidth="10" defaultRowHeight="15" x14ac:dyDescent="0.25"/>
  <cols>
    <col min="1" max="1" width="3.5703125" customWidth="1"/>
    <col min="2" max="2" width="21.7109375" customWidth="1"/>
    <col min="3" max="3" width="14" customWidth="1"/>
    <col min="4" max="4" width="12.85546875" customWidth="1"/>
    <col min="5" max="5" width="15" style="9" customWidth="1"/>
    <col min="6" max="6" width="18.28515625" customWidth="1"/>
    <col min="7" max="7" width="15" customWidth="1"/>
    <col min="8" max="8" width="13.28515625" customWidth="1"/>
    <col min="9" max="9" width="14.7109375" customWidth="1"/>
    <col min="10" max="10" width="15.28515625" customWidth="1"/>
    <col min="11" max="11" width="13.85546875" customWidth="1"/>
    <col min="12" max="12" width="15.42578125" customWidth="1"/>
    <col min="14" max="14" width="10.140625" bestFit="1" customWidth="1"/>
  </cols>
  <sheetData>
    <row r="1" spans="2:14" ht="15" customHeight="1" x14ac:dyDescent="0.25">
      <c r="B1" s="1087" t="s">
        <v>509</v>
      </c>
      <c r="C1" s="1087"/>
      <c r="D1" s="1087"/>
      <c r="E1" s="1087"/>
      <c r="F1" s="1087"/>
      <c r="G1" s="1087"/>
      <c r="H1" s="1087"/>
      <c r="I1" s="1087"/>
      <c r="J1" s="1087"/>
      <c r="K1" s="1087"/>
      <c r="L1" s="1087"/>
    </row>
    <row r="2" spans="2:14" ht="15" customHeight="1" thickBot="1" x14ac:dyDescent="0.3">
      <c r="B2" s="1087"/>
      <c r="C2" s="1087"/>
      <c r="D2" s="1087"/>
      <c r="E2" s="1087"/>
      <c r="F2" s="1087"/>
      <c r="G2" s="1087"/>
      <c r="H2" s="1087"/>
      <c r="I2" s="1087"/>
      <c r="J2" s="1087"/>
      <c r="K2" s="1087"/>
      <c r="L2" s="1087"/>
    </row>
    <row r="3" spans="2:14" ht="15" customHeight="1" thickBot="1" x14ac:dyDescent="0.3">
      <c r="B3" s="1091" t="s">
        <v>13</v>
      </c>
      <c r="C3" s="1094" t="s">
        <v>306</v>
      </c>
      <c r="D3" s="1096" t="s">
        <v>307</v>
      </c>
      <c r="E3" s="1098" t="s">
        <v>308</v>
      </c>
      <c r="F3" s="1099"/>
      <c r="G3" s="1100" t="s">
        <v>309</v>
      </c>
      <c r="H3" s="1098"/>
      <c r="I3" s="1099"/>
      <c r="J3" s="1101" t="s">
        <v>310</v>
      </c>
      <c r="K3" s="1101" t="s">
        <v>328</v>
      </c>
      <c r="L3" s="563" t="s">
        <v>168</v>
      </c>
    </row>
    <row r="4" spans="2:14" x14ac:dyDescent="0.25">
      <c r="B4" s="1092"/>
      <c r="C4" s="1095"/>
      <c r="D4" s="1097"/>
      <c r="E4" s="1103" t="s">
        <v>311</v>
      </c>
      <c r="F4" s="1085" t="s">
        <v>312</v>
      </c>
      <c r="G4" s="1101" t="s">
        <v>313</v>
      </c>
      <c r="H4" s="1101" t="s">
        <v>314</v>
      </c>
      <c r="I4" s="1085" t="s">
        <v>315</v>
      </c>
      <c r="J4" s="1102"/>
      <c r="K4" s="1102"/>
      <c r="L4" s="564" t="s">
        <v>316</v>
      </c>
    </row>
    <row r="5" spans="2:14" x14ac:dyDescent="0.25">
      <c r="B5" s="1092"/>
      <c r="C5" s="1095"/>
      <c r="D5" s="1097"/>
      <c r="E5" s="1104"/>
      <c r="F5" s="1086"/>
      <c r="G5" s="1102"/>
      <c r="H5" s="1102"/>
      <c r="I5" s="1086"/>
      <c r="J5" s="1102"/>
      <c r="K5" s="1102"/>
      <c r="L5" s="565" t="s">
        <v>317</v>
      </c>
    </row>
    <row r="6" spans="2:14" x14ac:dyDescent="0.25">
      <c r="B6" s="1092"/>
      <c r="C6" s="1095"/>
      <c r="D6" s="1097"/>
      <c r="E6" s="1104"/>
      <c r="F6" s="566">
        <v>0.7</v>
      </c>
      <c r="G6" s="1102"/>
      <c r="H6" s="1102"/>
      <c r="I6" s="1086"/>
      <c r="J6" s="1102"/>
      <c r="K6" s="565" t="s">
        <v>44</v>
      </c>
      <c r="L6" s="565" t="s">
        <v>318</v>
      </c>
    </row>
    <row r="7" spans="2:14" ht="15.75" thickBot="1" x14ac:dyDescent="0.3">
      <c r="B7" s="1093"/>
      <c r="C7" s="567" t="s">
        <v>70</v>
      </c>
      <c r="D7" s="568" t="s">
        <v>97</v>
      </c>
      <c r="E7" s="569" t="s">
        <v>71</v>
      </c>
      <c r="F7" s="568" t="s">
        <v>319</v>
      </c>
      <c r="G7" s="567" t="s">
        <v>320</v>
      </c>
      <c r="H7" s="568" t="s">
        <v>321</v>
      </c>
      <c r="I7" s="570" t="s">
        <v>322</v>
      </c>
      <c r="J7" s="568" t="s">
        <v>323</v>
      </c>
      <c r="K7" s="568" t="s">
        <v>76</v>
      </c>
      <c r="L7" s="568" t="s">
        <v>324</v>
      </c>
    </row>
    <row r="8" spans="2:14" x14ac:dyDescent="0.25">
      <c r="B8" s="571" t="s">
        <v>45</v>
      </c>
      <c r="C8" s="572">
        <v>3.81</v>
      </c>
      <c r="D8" s="573">
        <f>$D$28*C8/100</f>
        <v>2891598.5474999999</v>
      </c>
      <c r="E8" s="574">
        <f>FGP!E8</f>
        <v>3.0136241193535018</v>
      </c>
      <c r="F8" s="575">
        <f>E8*0.7</f>
        <v>2.1095368835474511</v>
      </c>
      <c r="G8" s="576">
        <f>1/E8</f>
        <v>0.33182638590459818</v>
      </c>
      <c r="H8" s="577">
        <f>G8/$G$28*100</f>
        <v>3.3056094868602481</v>
      </c>
      <c r="I8" s="578">
        <f>H8*0.3</f>
        <v>0.99168284605807444</v>
      </c>
      <c r="J8" s="579">
        <f>F8+I8</f>
        <v>3.1012197296055257</v>
      </c>
      <c r="K8" s="580">
        <f>$K$28*J8/100</f>
        <v>865050.22382496996</v>
      </c>
      <c r="L8" s="580">
        <f>D8+K8</f>
        <v>3756648.7713249698</v>
      </c>
      <c r="N8" s="213"/>
    </row>
    <row r="9" spans="2:14" x14ac:dyDescent="0.25">
      <c r="B9" s="571" t="s">
        <v>46</v>
      </c>
      <c r="C9" s="572">
        <v>1.63</v>
      </c>
      <c r="D9" s="573">
        <f t="shared" ref="D9:D27" si="0">$D$28*C9/100</f>
        <v>1237088.0924999998</v>
      </c>
      <c r="E9" s="574">
        <f>FGP!E9</f>
        <v>1.2459367229589724</v>
      </c>
      <c r="F9" s="575">
        <f t="shared" ref="F9:F27" si="1">E9*0.7</f>
        <v>0.87215570607128068</v>
      </c>
      <c r="G9" s="576">
        <f t="shared" ref="G9:G27" si="2">1/E9</f>
        <v>0.80260897810693166</v>
      </c>
      <c r="H9" s="575">
        <f t="shared" ref="H9:H27" si="3">G9/$G$28*100</f>
        <v>7.9954818693419583</v>
      </c>
      <c r="I9" s="578">
        <f t="shared" ref="I9:I27" si="4">H9*0.3</f>
        <v>2.3986445608025875</v>
      </c>
      <c r="J9" s="579">
        <f>F9+I9</f>
        <v>3.2708002668738683</v>
      </c>
      <c r="K9" s="580">
        <f t="shared" ref="K9:K27" si="5">$K$28*J9/100</f>
        <v>912352.79975015204</v>
      </c>
      <c r="L9" s="580">
        <f t="shared" ref="L9:L27" si="6">D9+K9</f>
        <v>2149440.8922501518</v>
      </c>
      <c r="N9" s="213"/>
    </row>
    <row r="10" spans="2:14" x14ac:dyDescent="0.25">
      <c r="B10" s="571" t="s">
        <v>47</v>
      </c>
      <c r="C10" s="572">
        <v>1.32</v>
      </c>
      <c r="D10" s="573">
        <f t="shared" si="0"/>
        <v>1001813.67</v>
      </c>
      <c r="E10" s="574">
        <f>FGP!E10</f>
        <v>0.93374430169912959</v>
      </c>
      <c r="F10" s="575">
        <f t="shared" si="1"/>
        <v>0.65362101118939064</v>
      </c>
      <c r="G10" s="576">
        <f t="shared" si="2"/>
        <v>1.0709570041608878</v>
      </c>
      <c r="H10" s="575">
        <f t="shared" si="3"/>
        <v>10.668728538035783</v>
      </c>
      <c r="I10" s="578">
        <f t="shared" si="4"/>
        <v>3.2006185614107348</v>
      </c>
      <c r="J10" s="579">
        <f t="shared" ref="J10:J28" si="7">F10+I10</f>
        <v>3.8542395726001253</v>
      </c>
      <c r="K10" s="580">
        <f t="shared" si="5"/>
        <v>1075096.6057399914</v>
      </c>
      <c r="L10" s="580">
        <f t="shared" si="6"/>
        <v>2076910.2757399916</v>
      </c>
      <c r="N10" s="213"/>
    </row>
    <row r="11" spans="2:14" x14ac:dyDescent="0.25">
      <c r="B11" s="571" t="s">
        <v>48</v>
      </c>
      <c r="C11" s="572">
        <v>7.64</v>
      </c>
      <c r="D11" s="573">
        <f t="shared" si="0"/>
        <v>5798376.0899999999</v>
      </c>
      <c r="E11" s="574">
        <f>FGP!E11</f>
        <v>15.187266887691669</v>
      </c>
      <c r="F11" s="575">
        <f t="shared" si="1"/>
        <v>10.631086821384168</v>
      </c>
      <c r="G11" s="576">
        <f t="shared" si="2"/>
        <v>6.5844632045706494E-2</v>
      </c>
      <c r="H11" s="575">
        <f t="shared" si="3"/>
        <v>0.6559353010935276</v>
      </c>
      <c r="I11" s="578">
        <f t="shared" si="4"/>
        <v>0.19678059032805828</v>
      </c>
      <c r="J11" s="579">
        <f t="shared" si="7"/>
        <v>10.827867411712226</v>
      </c>
      <c r="K11" s="580">
        <f t="shared" si="5"/>
        <v>3020311.3435113467</v>
      </c>
      <c r="L11" s="580">
        <f t="shared" si="6"/>
        <v>8818687.4335113466</v>
      </c>
      <c r="N11" s="213"/>
    </row>
    <row r="12" spans="2:14" x14ac:dyDescent="0.25">
      <c r="B12" s="571" t="s">
        <v>49</v>
      </c>
      <c r="C12" s="572">
        <v>6.2</v>
      </c>
      <c r="D12" s="573">
        <f t="shared" si="0"/>
        <v>4705488.45</v>
      </c>
      <c r="E12" s="574">
        <f>FGP!E12</f>
        <v>6.2678071902196431</v>
      </c>
      <c r="F12" s="575">
        <f t="shared" si="1"/>
        <v>4.3874650331537497</v>
      </c>
      <c r="G12" s="576">
        <f t="shared" si="2"/>
        <v>0.15954543106565422</v>
      </c>
      <c r="H12" s="575">
        <f t="shared" si="3"/>
        <v>1.5893699624823181</v>
      </c>
      <c r="I12" s="578">
        <f t="shared" si="4"/>
        <v>0.47681098874469541</v>
      </c>
      <c r="J12" s="579">
        <f t="shared" si="7"/>
        <v>4.8642760218984451</v>
      </c>
      <c r="K12" s="580">
        <f t="shared" si="5"/>
        <v>1356834.8676876631</v>
      </c>
      <c r="L12" s="580">
        <f t="shared" si="6"/>
        <v>6062323.3176876632</v>
      </c>
      <c r="N12" s="213"/>
    </row>
    <row r="13" spans="2:14" x14ac:dyDescent="0.25">
      <c r="B13" s="571" t="s">
        <v>50</v>
      </c>
      <c r="C13" s="572">
        <v>7.23</v>
      </c>
      <c r="D13" s="573">
        <f t="shared" si="0"/>
        <v>5487206.6924999999</v>
      </c>
      <c r="E13" s="574">
        <f>FGP!E13</f>
        <v>3.8487813406547868</v>
      </c>
      <c r="F13" s="575">
        <f t="shared" si="1"/>
        <v>2.6941469384583505</v>
      </c>
      <c r="G13" s="576">
        <f t="shared" si="2"/>
        <v>0.25982250262881174</v>
      </c>
      <c r="H13" s="575">
        <f t="shared" si="3"/>
        <v>2.588316559721993</v>
      </c>
      <c r="I13" s="578">
        <f t="shared" si="4"/>
        <v>0.77649496791659789</v>
      </c>
      <c r="J13" s="579">
        <f>F13+I13</f>
        <v>3.4706419063749485</v>
      </c>
      <c r="K13" s="580">
        <f t="shared" si="5"/>
        <v>968096.36842722492</v>
      </c>
      <c r="L13" s="580">
        <f t="shared" si="6"/>
        <v>6455303.0609272253</v>
      </c>
      <c r="N13" s="213"/>
    </row>
    <row r="14" spans="2:14" x14ac:dyDescent="0.25">
      <c r="B14" s="571" t="s">
        <v>51</v>
      </c>
      <c r="C14" s="572">
        <v>2</v>
      </c>
      <c r="D14" s="573">
        <f t="shared" si="0"/>
        <v>1517899.5</v>
      </c>
      <c r="E14" s="574">
        <f>FGP!E14</f>
        <v>0.98991789266473262</v>
      </c>
      <c r="F14" s="575">
        <f t="shared" si="1"/>
        <v>0.69294252486531283</v>
      </c>
      <c r="G14" s="576">
        <f t="shared" si="2"/>
        <v>1.0101847914963207</v>
      </c>
      <c r="H14" s="575">
        <f t="shared" si="3"/>
        <v>10.063323991396631</v>
      </c>
      <c r="I14" s="578">
        <f t="shared" si="4"/>
        <v>3.0189971974189893</v>
      </c>
      <c r="J14" s="579">
        <f>F14+I14</f>
        <v>3.7119397222843022</v>
      </c>
      <c r="K14" s="580">
        <f t="shared" si="5"/>
        <v>1035403.6693798773</v>
      </c>
      <c r="L14" s="580">
        <f t="shared" si="6"/>
        <v>2553303.1693798774</v>
      </c>
      <c r="N14" s="213"/>
    </row>
    <row r="15" spans="2:14" x14ac:dyDescent="0.25">
      <c r="B15" s="571" t="s">
        <v>52</v>
      </c>
      <c r="C15" s="572">
        <v>2.67</v>
      </c>
      <c r="D15" s="573">
        <f t="shared" si="0"/>
        <v>2026395.8325</v>
      </c>
      <c r="E15" s="574">
        <f>FGP!E15</f>
        <v>2.3715130283878989</v>
      </c>
      <c r="F15" s="575">
        <f t="shared" si="1"/>
        <v>1.6600591198715291</v>
      </c>
      <c r="G15" s="576">
        <f t="shared" si="2"/>
        <v>0.42167172941056008</v>
      </c>
      <c r="H15" s="575">
        <f t="shared" si="3"/>
        <v>4.2006366229148018</v>
      </c>
      <c r="I15" s="578">
        <f t="shared" si="4"/>
        <v>1.2601909868744405</v>
      </c>
      <c r="J15" s="579">
        <f t="shared" si="7"/>
        <v>2.9202501067459696</v>
      </c>
      <c r="K15" s="580">
        <f t="shared" si="5"/>
        <v>814570.7910825205</v>
      </c>
      <c r="L15" s="580">
        <f t="shared" si="6"/>
        <v>2840966.6235825205</v>
      </c>
      <c r="N15" s="213"/>
    </row>
    <row r="16" spans="2:14" x14ac:dyDescent="0.25">
      <c r="B16" s="571" t="s">
        <v>53</v>
      </c>
      <c r="C16" s="572">
        <v>2.2999999999999998</v>
      </c>
      <c r="D16" s="573">
        <f t="shared" si="0"/>
        <v>1745584.425</v>
      </c>
      <c r="E16" s="574">
        <f>FGP!E16</f>
        <v>1.563876010153336</v>
      </c>
      <c r="F16" s="575">
        <f t="shared" si="1"/>
        <v>1.0947132071073351</v>
      </c>
      <c r="G16" s="576">
        <f t="shared" si="2"/>
        <v>0.63943688214895711</v>
      </c>
      <c r="H16" s="575">
        <f t="shared" si="3"/>
        <v>6.3699835626924477</v>
      </c>
      <c r="I16" s="578">
        <f t="shared" si="4"/>
        <v>1.9109950688077342</v>
      </c>
      <c r="J16" s="579">
        <f t="shared" si="7"/>
        <v>3.0057082759150693</v>
      </c>
      <c r="K16" s="580">
        <f t="shared" si="5"/>
        <v>838408.38235723006</v>
      </c>
      <c r="L16" s="580">
        <f t="shared" si="6"/>
        <v>2583992.8073572302</v>
      </c>
      <c r="N16" s="213"/>
    </row>
    <row r="17" spans="2:14" x14ac:dyDescent="0.25">
      <c r="B17" s="571" t="s">
        <v>54</v>
      </c>
      <c r="C17" s="572">
        <v>2.31</v>
      </c>
      <c r="D17" s="573">
        <f t="shared" si="0"/>
        <v>1753173.9225000001</v>
      </c>
      <c r="E17" s="574">
        <f>FGP!E17</f>
        <v>1.1104401937422297</v>
      </c>
      <c r="F17" s="575">
        <f t="shared" si="1"/>
        <v>0.77730813561956069</v>
      </c>
      <c r="G17" s="576">
        <f t="shared" si="2"/>
        <v>0.90054377141191044</v>
      </c>
      <c r="H17" s="575">
        <f t="shared" si="3"/>
        <v>8.9710950080020968</v>
      </c>
      <c r="I17" s="578">
        <f t="shared" si="4"/>
        <v>2.691328502400629</v>
      </c>
      <c r="J17" s="579">
        <f>F17+I17</f>
        <v>3.4686366380201896</v>
      </c>
      <c r="K17" s="580">
        <f t="shared" si="5"/>
        <v>967537.02146365645</v>
      </c>
      <c r="L17" s="580">
        <f t="shared" si="6"/>
        <v>2720710.9439636567</v>
      </c>
      <c r="N17" s="213"/>
    </row>
    <row r="18" spans="2:14" x14ac:dyDescent="0.25">
      <c r="B18" s="571" t="s">
        <v>55</v>
      </c>
      <c r="C18" s="572">
        <v>5.05</v>
      </c>
      <c r="D18" s="573">
        <f t="shared" si="0"/>
        <v>3832696.2374999998</v>
      </c>
      <c r="E18" s="574">
        <f>FGP!E18</f>
        <v>2.7169725186489848</v>
      </c>
      <c r="F18" s="575">
        <f t="shared" si="1"/>
        <v>1.9018807630542893</v>
      </c>
      <c r="G18" s="576">
        <f t="shared" si="2"/>
        <v>0.36805672237614323</v>
      </c>
      <c r="H18" s="575">
        <f t="shared" si="3"/>
        <v>3.6665311888098664</v>
      </c>
      <c r="I18" s="578">
        <f t="shared" si="4"/>
        <v>1.09995935664296</v>
      </c>
      <c r="J18" s="579">
        <f t="shared" si="7"/>
        <v>3.0018401196972491</v>
      </c>
      <c r="K18" s="580">
        <f t="shared" si="5"/>
        <v>837329.40386045619</v>
      </c>
      <c r="L18" s="580">
        <f t="shared" si="6"/>
        <v>4670025.6413604561</v>
      </c>
      <c r="N18" s="213"/>
    </row>
    <row r="19" spans="2:14" x14ac:dyDescent="0.25">
      <c r="B19" s="571" t="s">
        <v>56</v>
      </c>
      <c r="C19" s="572">
        <v>2.58</v>
      </c>
      <c r="D19" s="573">
        <f t="shared" si="0"/>
        <v>1958090.355</v>
      </c>
      <c r="E19" s="574">
        <f>FGP!E19</f>
        <v>1.9503729796933278</v>
      </c>
      <c r="F19" s="575">
        <f t="shared" si="1"/>
        <v>1.3652610857853293</v>
      </c>
      <c r="G19" s="576">
        <f t="shared" si="2"/>
        <v>0.51272244355909691</v>
      </c>
      <c r="H19" s="575">
        <f t="shared" si="3"/>
        <v>5.1076714979573694</v>
      </c>
      <c r="I19" s="578">
        <f t="shared" si="4"/>
        <v>1.5323014493872107</v>
      </c>
      <c r="J19" s="579">
        <f t="shared" si="7"/>
        <v>2.8975625351725398</v>
      </c>
      <c r="K19" s="580">
        <f t="shared" si="5"/>
        <v>808242.34918584244</v>
      </c>
      <c r="L19" s="580">
        <f t="shared" si="6"/>
        <v>2766332.7041858425</v>
      </c>
      <c r="N19" s="213"/>
    </row>
    <row r="20" spans="2:14" x14ac:dyDescent="0.25">
      <c r="B20" s="571" t="s">
        <v>57</v>
      </c>
      <c r="C20" s="572">
        <v>3.39</v>
      </c>
      <c r="D20" s="573">
        <f t="shared" si="0"/>
        <v>2572839.6524999999</v>
      </c>
      <c r="E20" s="574">
        <f>FGP!E20</f>
        <v>3.3605405615416495</v>
      </c>
      <c r="F20" s="575">
        <f t="shared" si="1"/>
        <v>2.3523783930791544</v>
      </c>
      <c r="G20" s="576">
        <f t="shared" si="2"/>
        <v>0.29757117394864879</v>
      </c>
      <c r="H20" s="575">
        <f t="shared" si="3"/>
        <v>2.9643637076636828</v>
      </c>
      <c r="I20" s="578">
        <f t="shared" si="4"/>
        <v>0.88930911229910481</v>
      </c>
      <c r="J20" s="579">
        <f t="shared" si="7"/>
        <v>3.241687505378259</v>
      </c>
      <c r="K20" s="580">
        <f t="shared" si="5"/>
        <v>904232.12367953302</v>
      </c>
      <c r="L20" s="580">
        <f t="shared" si="6"/>
        <v>3477071.776179533</v>
      </c>
      <c r="N20" s="213"/>
    </row>
    <row r="21" spans="2:14" x14ac:dyDescent="0.25">
      <c r="B21" s="571" t="s">
        <v>58</v>
      </c>
      <c r="C21" s="572">
        <v>0.82</v>
      </c>
      <c r="D21" s="573">
        <f t="shared" si="0"/>
        <v>622338.79500000004</v>
      </c>
      <c r="E21" s="574">
        <f>FGP!E21</f>
        <v>0.62187564753418989</v>
      </c>
      <c r="F21" s="575">
        <f t="shared" si="1"/>
        <v>0.43531295327393288</v>
      </c>
      <c r="G21" s="576">
        <f t="shared" si="2"/>
        <v>1.6080385266172066</v>
      </c>
      <c r="H21" s="575">
        <f t="shared" si="3"/>
        <v>16.01906187879484</v>
      </c>
      <c r="I21" s="578">
        <f t="shared" si="4"/>
        <v>4.8057185636384521</v>
      </c>
      <c r="J21" s="579">
        <f>F21+I21</f>
        <v>5.2410315169123853</v>
      </c>
      <c r="K21" s="580">
        <f t="shared" si="5"/>
        <v>1461926.5586045636</v>
      </c>
      <c r="L21" s="580">
        <f t="shared" si="6"/>
        <v>2084265.3536045635</v>
      </c>
      <c r="N21" s="213"/>
    </row>
    <row r="22" spans="2:14" x14ac:dyDescent="0.25">
      <c r="B22" s="571" t="s">
        <v>59</v>
      </c>
      <c r="C22" s="572">
        <v>2.27</v>
      </c>
      <c r="D22" s="573">
        <f t="shared" si="0"/>
        <v>1722815.9325000001</v>
      </c>
      <c r="E22" s="574">
        <f>FGP!E22</f>
        <v>2.0163405252797348</v>
      </c>
      <c r="F22" s="575">
        <f t="shared" si="1"/>
        <v>1.4114383676958142</v>
      </c>
      <c r="G22" s="576">
        <f t="shared" si="2"/>
        <v>0.49594797479025327</v>
      </c>
      <c r="H22" s="575">
        <f t="shared" si="3"/>
        <v>4.940566513378859</v>
      </c>
      <c r="I22" s="578">
        <f t="shared" si="4"/>
        <v>1.4821699540136577</v>
      </c>
      <c r="J22" s="579">
        <f t="shared" si="7"/>
        <v>2.8936083217094719</v>
      </c>
      <c r="K22" s="580">
        <f t="shared" si="5"/>
        <v>807139.36599228648</v>
      </c>
      <c r="L22" s="580">
        <f t="shared" si="6"/>
        <v>2529955.2984922864</v>
      </c>
      <c r="N22" s="213"/>
    </row>
    <row r="23" spans="2:14" x14ac:dyDescent="0.25">
      <c r="B23" s="571" t="s">
        <v>60</v>
      </c>
      <c r="C23" s="572">
        <v>8.59</v>
      </c>
      <c r="D23" s="573">
        <f t="shared" si="0"/>
        <v>6519378.3525</v>
      </c>
      <c r="E23" s="574">
        <f>FGP!E23</f>
        <v>7.6069888365105687</v>
      </c>
      <c r="F23" s="575">
        <f t="shared" si="1"/>
        <v>5.3248921855573981</v>
      </c>
      <c r="G23" s="576">
        <f t="shared" si="2"/>
        <v>0.13145806067183791</v>
      </c>
      <c r="H23" s="575">
        <f t="shared" si="3"/>
        <v>1.3095673850542211</v>
      </c>
      <c r="I23" s="578">
        <f t="shared" si="4"/>
        <v>0.39287021551626633</v>
      </c>
      <c r="J23" s="579">
        <f t="shared" si="7"/>
        <v>5.7177624010736645</v>
      </c>
      <c r="K23" s="580">
        <f t="shared" si="5"/>
        <v>1594905.2553770256</v>
      </c>
      <c r="L23" s="580">
        <f t="shared" si="6"/>
        <v>8114283.6078770254</v>
      </c>
      <c r="N23" s="213"/>
    </row>
    <row r="24" spans="2:14" x14ac:dyDescent="0.25">
      <c r="B24" s="571" t="s">
        <v>61</v>
      </c>
      <c r="C24" s="572">
        <v>4.55</v>
      </c>
      <c r="D24" s="573">
        <f t="shared" si="0"/>
        <v>3453221.3624999998</v>
      </c>
      <c r="E24" s="574">
        <f>FGP!E24</f>
        <v>3.0057727673021133</v>
      </c>
      <c r="F24" s="575">
        <f t="shared" si="1"/>
        <v>2.104040937111479</v>
      </c>
      <c r="G24" s="576">
        <f t="shared" si="2"/>
        <v>0.33269314662717114</v>
      </c>
      <c r="H24" s="575">
        <f t="shared" si="3"/>
        <v>3.3142440397140369</v>
      </c>
      <c r="I24" s="578">
        <f t="shared" si="4"/>
        <v>0.99427321191421103</v>
      </c>
      <c r="J24" s="579">
        <f t="shared" si="7"/>
        <v>3.0983141490256898</v>
      </c>
      <c r="K24" s="580">
        <f t="shared" si="5"/>
        <v>864239.744932767</v>
      </c>
      <c r="L24" s="580">
        <f t="shared" si="6"/>
        <v>4317461.1074327668</v>
      </c>
      <c r="N24" s="213"/>
    </row>
    <row r="25" spans="2:14" x14ac:dyDescent="0.25">
      <c r="B25" s="571" t="s">
        <v>62</v>
      </c>
      <c r="C25" s="572">
        <v>29.02</v>
      </c>
      <c r="D25" s="573">
        <f t="shared" si="0"/>
        <v>22024721.745000001</v>
      </c>
      <c r="E25" s="574">
        <f>FGP!E25</f>
        <v>34.475044032324909</v>
      </c>
      <c r="F25" s="575">
        <f t="shared" si="1"/>
        <v>24.132530822627434</v>
      </c>
      <c r="G25" s="576">
        <f t="shared" si="2"/>
        <v>2.9006489420647812E-2</v>
      </c>
      <c r="H25" s="575">
        <f t="shared" si="3"/>
        <v>0.28895871661324735</v>
      </c>
      <c r="I25" s="578">
        <f t="shared" si="4"/>
        <v>8.6687614983974204E-2</v>
      </c>
      <c r="J25" s="579">
        <f t="shared" si="7"/>
        <v>24.219218437611406</v>
      </c>
      <c r="K25" s="580">
        <f t="shared" si="5"/>
        <v>6755677.4937023008</v>
      </c>
      <c r="L25" s="580">
        <f t="shared" si="6"/>
        <v>28780399.238702301</v>
      </c>
      <c r="N25" s="213"/>
    </row>
    <row r="26" spans="2:14" x14ac:dyDescent="0.25">
      <c r="B26" s="571" t="s">
        <v>63</v>
      </c>
      <c r="C26" s="572">
        <v>2.73</v>
      </c>
      <c r="D26" s="573">
        <f t="shared" si="0"/>
        <v>2071932.8174999999</v>
      </c>
      <c r="E26" s="574">
        <f>FGP!E26</f>
        <v>2.4334334852880231</v>
      </c>
      <c r="F26" s="575">
        <f t="shared" si="1"/>
        <v>1.703403439701616</v>
      </c>
      <c r="G26" s="576">
        <f t="shared" si="2"/>
        <v>0.41094199042043644</v>
      </c>
      <c r="H26" s="575">
        <f t="shared" si="3"/>
        <v>4.0937484172026606</v>
      </c>
      <c r="I26" s="578">
        <f t="shared" si="4"/>
        <v>1.2281245251607982</v>
      </c>
      <c r="J26" s="579">
        <f t="shared" si="7"/>
        <v>2.931527964862414</v>
      </c>
      <c r="K26" s="580">
        <f t="shared" si="5"/>
        <v>817716.62225170946</v>
      </c>
      <c r="L26" s="580">
        <f t="shared" si="6"/>
        <v>2889649.4397517093</v>
      </c>
      <c r="N26" s="213"/>
    </row>
    <row r="27" spans="2:14" ht="15.75" thickBot="1" x14ac:dyDescent="0.3">
      <c r="B27" s="571" t="s">
        <v>64</v>
      </c>
      <c r="C27" s="572">
        <v>3.89</v>
      </c>
      <c r="D27" s="573">
        <f t="shared" si="0"/>
        <v>2952314.5274999999</v>
      </c>
      <c r="E27" s="574">
        <f>FGP!E27</f>
        <v>5.2797509583506006</v>
      </c>
      <c r="F27" s="575">
        <f t="shared" si="1"/>
        <v>3.6958256708454202</v>
      </c>
      <c r="G27" s="576">
        <f t="shared" si="2"/>
        <v>0.18940287295528063</v>
      </c>
      <c r="H27" s="575">
        <f t="shared" si="3"/>
        <v>1.8868057522694013</v>
      </c>
      <c r="I27" s="578">
        <f t="shared" si="4"/>
        <v>0.56604172568082034</v>
      </c>
      <c r="J27" s="579">
        <f t="shared" si="7"/>
        <v>4.2618673965262408</v>
      </c>
      <c r="K27" s="580">
        <f t="shared" si="5"/>
        <v>1188799.7841888866</v>
      </c>
      <c r="L27" s="580">
        <f t="shared" si="6"/>
        <v>4141114.3116888865</v>
      </c>
      <c r="N27" s="213"/>
    </row>
    <row r="28" spans="2:14" ht="15.75" thickBot="1" x14ac:dyDescent="0.3">
      <c r="B28" s="581" t="s">
        <v>65</v>
      </c>
      <c r="C28" s="582">
        <f t="shared" ref="C28:I28" si="8">SUM(C8:C27)</f>
        <v>100</v>
      </c>
      <c r="D28" s="921">
        <f>Datos!K40</f>
        <v>75894975</v>
      </c>
      <c r="E28" s="583">
        <f t="shared" si="8"/>
        <v>100</v>
      </c>
      <c r="F28" s="584">
        <f t="shared" si="8"/>
        <v>70</v>
      </c>
      <c r="G28" s="585">
        <f t="shared" si="8"/>
        <v>10.038281509767062</v>
      </c>
      <c r="H28" s="584">
        <f t="shared" si="8"/>
        <v>99.999999999999986</v>
      </c>
      <c r="I28" s="586">
        <f t="shared" si="8"/>
        <v>29.999999999999993</v>
      </c>
      <c r="J28" s="587">
        <f t="shared" si="7"/>
        <v>100</v>
      </c>
      <c r="K28" s="588">
        <f>Datos!K41</f>
        <v>27893870.775000006</v>
      </c>
      <c r="L28" s="588">
        <f>SUM(L8:L27)</f>
        <v>103788845.77499999</v>
      </c>
      <c r="N28" s="213"/>
    </row>
    <row r="29" spans="2:14" x14ac:dyDescent="0.25">
      <c r="B29" s="589" t="s">
        <v>325</v>
      </c>
      <c r="D29" s="590"/>
      <c r="E29" s="591"/>
      <c r="F29" s="5"/>
      <c r="G29" s="5"/>
      <c r="H29" s="5"/>
      <c r="I29" s="5"/>
      <c r="J29" s="93"/>
      <c r="K29" s="5"/>
    </row>
    <row r="30" spans="2:14" ht="6.75" customHeight="1" x14ac:dyDescent="0.25"/>
    <row r="31" spans="2:14" x14ac:dyDescent="0.25">
      <c r="C31" t="s">
        <v>326</v>
      </c>
      <c r="E31"/>
      <c r="G31" s="9"/>
      <c r="H31" s="9"/>
      <c r="J31" s="148"/>
      <c r="K31" s="148"/>
    </row>
    <row r="32" spans="2:14" ht="31.5" customHeight="1" x14ac:dyDescent="0.25">
      <c r="C32" s="1088" t="s">
        <v>330</v>
      </c>
      <c r="D32" s="1088"/>
      <c r="E32" s="1088"/>
      <c r="F32" s="1088"/>
      <c r="G32" s="1088"/>
      <c r="H32" s="1088"/>
      <c r="I32" s="1088"/>
      <c r="J32" s="1088"/>
      <c r="K32" s="1088"/>
    </row>
    <row r="33" spans="3:21" x14ac:dyDescent="0.25">
      <c r="C33" s="1089" t="s">
        <v>381</v>
      </c>
      <c r="D33" s="1089"/>
      <c r="E33" s="1089"/>
      <c r="F33" s="1089"/>
      <c r="G33" s="1089"/>
      <c r="H33" s="1089"/>
      <c r="I33" s="1089"/>
      <c r="J33" s="1089"/>
      <c r="K33" s="1089"/>
    </row>
    <row r="34" spans="3:21" ht="40.5" customHeight="1" x14ac:dyDescent="0.25">
      <c r="C34" s="1090" t="s">
        <v>327</v>
      </c>
      <c r="D34" s="1090"/>
      <c r="E34" s="1090"/>
      <c r="F34" s="1090"/>
      <c r="G34" s="1090"/>
      <c r="H34" s="1090"/>
      <c r="I34" s="1090"/>
      <c r="J34" s="1090"/>
      <c r="K34" s="1090"/>
    </row>
    <row r="35" spans="3:21" ht="26.25" customHeight="1" x14ac:dyDescent="0.25">
      <c r="C35" s="1090"/>
      <c r="D35" s="1090"/>
      <c r="E35" s="1090"/>
      <c r="F35" s="1090"/>
      <c r="G35" s="1090"/>
      <c r="H35" s="1090"/>
      <c r="I35" s="1090"/>
      <c r="J35" s="1090"/>
      <c r="K35" s="1090"/>
      <c r="L35" s="537"/>
      <c r="M35" s="537"/>
      <c r="N35" s="537"/>
      <c r="O35" s="537"/>
      <c r="P35" s="537"/>
      <c r="Q35" s="537"/>
      <c r="R35" s="537"/>
      <c r="S35" s="537"/>
      <c r="T35" s="537"/>
      <c r="U35" s="537"/>
    </row>
  </sheetData>
  <mergeCells count="18">
    <mergeCell ref="B1:L1"/>
    <mergeCell ref="B3:B7"/>
    <mergeCell ref="C3:C6"/>
    <mergeCell ref="D3:D6"/>
    <mergeCell ref="E3:F3"/>
    <mergeCell ref="G3:I3"/>
    <mergeCell ref="J3:J6"/>
    <mergeCell ref="K3:K5"/>
    <mergeCell ref="E4:E6"/>
    <mergeCell ref="F4:F5"/>
    <mergeCell ref="G4:G6"/>
    <mergeCell ref="H4:H6"/>
    <mergeCell ref="I4:I6"/>
    <mergeCell ref="B2:L2"/>
    <mergeCell ref="C32:K32"/>
    <mergeCell ref="C33:K33"/>
    <mergeCell ref="C35:K35"/>
    <mergeCell ref="C34:K34"/>
  </mergeCells>
  <pageMargins left="0.70866141732283472" right="0.70866141732283472" top="0.74803149606299213" bottom="0.74803149606299213" header="0.31496062992125984" footer="0.31496062992125984"/>
  <pageSetup paperSize="5"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B1:Q30"/>
  <sheetViews>
    <sheetView workbookViewId="0">
      <selection activeCell="B1" sqref="B1:G2"/>
    </sheetView>
  </sheetViews>
  <sheetFormatPr baseColWidth="10" defaultRowHeight="15" x14ac:dyDescent="0.25"/>
  <cols>
    <col min="1" max="1" width="3.5703125" customWidth="1"/>
    <col min="2" max="2" width="21.7109375" customWidth="1"/>
    <col min="3" max="3" width="14.85546875" customWidth="1"/>
    <col min="4" max="4" width="15.140625" customWidth="1"/>
    <col min="5" max="5" width="13.140625" style="9" customWidth="1"/>
    <col min="6" max="6" width="14.28515625" style="148" customWidth="1"/>
    <col min="7" max="7" width="15.42578125" style="148" customWidth="1"/>
    <col min="8" max="8" width="18.42578125" customWidth="1"/>
    <col min="9" max="9" width="19" customWidth="1"/>
    <col min="10" max="10" width="12.85546875" customWidth="1"/>
    <col min="12" max="12" width="12.7109375" bestFit="1" customWidth="1"/>
    <col min="13" max="13" width="11.5703125" bestFit="1" customWidth="1"/>
    <col min="14" max="14" width="12.7109375" bestFit="1" customWidth="1"/>
  </cols>
  <sheetData>
    <row r="1" spans="2:14" ht="15" customHeight="1" x14ac:dyDescent="0.25">
      <c r="B1" s="1105" t="s">
        <v>457</v>
      </c>
      <c r="C1" s="1105"/>
      <c r="D1" s="1105"/>
      <c r="E1" s="1105"/>
      <c r="F1" s="1105"/>
      <c r="G1" s="1105"/>
    </row>
    <row r="2" spans="2:14" ht="15" customHeight="1" x14ac:dyDescent="0.25">
      <c r="B2" s="1105"/>
      <c r="C2" s="1105"/>
      <c r="D2" s="1105"/>
      <c r="E2" s="1105"/>
      <c r="F2" s="1105"/>
      <c r="G2" s="1105"/>
    </row>
    <row r="3" spans="2:14" x14ac:dyDescent="0.25">
      <c r="B3" s="1110" t="s">
        <v>276</v>
      </c>
      <c r="C3" s="1110"/>
      <c r="D3" s="1110"/>
      <c r="E3" s="1110"/>
      <c r="F3" s="1110"/>
      <c r="G3" s="1110"/>
    </row>
    <row r="4" spans="2:14" ht="15.75" thickBot="1" x14ac:dyDescent="0.3"/>
    <row r="5" spans="2:14" ht="30" customHeight="1" x14ac:dyDescent="0.25">
      <c r="B5" s="1106" t="s">
        <v>83</v>
      </c>
      <c r="C5" s="1108" t="s">
        <v>242</v>
      </c>
      <c r="D5" s="1108" t="s">
        <v>198</v>
      </c>
      <c r="E5" s="1111" t="s">
        <v>462</v>
      </c>
      <c r="F5" s="1113" t="s">
        <v>463</v>
      </c>
      <c r="G5" s="1115" t="s">
        <v>243</v>
      </c>
    </row>
    <row r="6" spans="2:14" x14ac:dyDescent="0.25">
      <c r="B6" s="1107"/>
      <c r="C6" s="1109"/>
      <c r="D6" s="1109"/>
      <c r="E6" s="1112"/>
      <c r="F6" s="1114"/>
      <c r="G6" s="1116"/>
    </row>
    <row r="7" spans="2:14" x14ac:dyDescent="0.25">
      <c r="B7" s="1107"/>
      <c r="C7" s="1109"/>
      <c r="D7" s="1109"/>
      <c r="E7" s="1112"/>
      <c r="F7" s="1114"/>
      <c r="G7" s="1116"/>
    </row>
    <row r="8" spans="2:14" ht="15.75" thickBot="1" x14ac:dyDescent="0.3">
      <c r="B8" s="1107"/>
      <c r="C8" s="139" t="s">
        <v>70</v>
      </c>
      <c r="D8" s="344" t="s">
        <v>97</v>
      </c>
      <c r="E8" s="551" t="s">
        <v>71</v>
      </c>
      <c r="F8" s="539" t="s">
        <v>98</v>
      </c>
      <c r="G8" s="540" t="s">
        <v>299</v>
      </c>
    </row>
    <row r="9" spans="2:14" x14ac:dyDescent="0.25">
      <c r="B9" s="387" t="s">
        <v>45</v>
      </c>
      <c r="C9" s="388">
        <v>3.94</v>
      </c>
      <c r="D9" s="389">
        <f>$D$29*C9/100</f>
        <v>812034</v>
      </c>
      <c r="E9" s="390">
        <v>0.05</v>
      </c>
      <c r="F9" s="391">
        <f>$F$29*E9</f>
        <v>428015.76750000007</v>
      </c>
      <c r="G9" s="468">
        <f t="shared" ref="G9:G28" si="0">D9+F9</f>
        <v>1240049.7675000001</v>
      </c>
      <c r="H9" s="150"/>
      <c r="I9" s="213"/>
      <c r="J9" s="123"/>
      <c r="L9" s="123"/>
      <c r="M9" s="123"/>
      <c r="N9" s="123"/>
    </row>
    <row r="10" spans="2:14" x14ac:dyDescent="0.25">
      <c r="B10" s="392" t="s">
        <v>46</v>
      </c>
      <c r="C10" s="393">
        <v>5.78</v>
      </c>
      <c r="D10" s="389">
        <f t="shared" ref="D10:D28" si="1">$D$29*C10/100</f>
        <v>1191258</v>
      </c>
      <c r="E10" s="394">
        <v>0.05</v>
      </c>
      <c r="F10" s="391">
        <f t="shared" ref="F10:F27" si="2">$F$29*E10</f>
        <v>428015.76750000007</v>
      </c>
      <c r="G10" s="469">
        <f t="shared" si="0"/>
        <v>1619273.7675000001</v>
      </c>
      <c r="H10" s="150"/>
      <c r="I10" s="213"/>
      <c r="J10" s="123"/>
      <c r="L10" s="123"/>
      <c r="M10" s="123"/>
      <c r="N10" s="123"/>
    </row>
    <row r="11" spans="2:14" x14ac:dyDescent="0.25">
      <c r="B11" s="392" t="s">
        <v>47</v>
      </c>
      <c r="C11" s="393">
        <v>6.12</v>
      </c>
      <c r="D11" s="389">
        <f t="shared" si="1"/>
        <v>1261332</v>
      </c>
      <c r="E11" s="394">
        <v>0.05</v>
      </c>
      <c r="F11" s="391">
        <f t="shared" si="2"/>
        <v>428015.76750000007</v>
      </c>
      <c r="G11" s="469">
        <f t="shared" si="0"/>
        <v>1689347.7675000001</v>
      </c>
      <c r="H11" s="150"/>
      <c r="I11" s="213"/>
      <c r="J11" s="123"/>
      <c r="L11" s="123"/>
      <c r="M11" s="123"/>
      <c r="N11" s="123"/>
    </row>
    <row r="12" spans="2:14" x14ac:dyDescent="0.25">
      <c r="B12" s="392" t="s">
        <v>48</v>
      </c>
      <c r="C12" s="393">
        <v>5.08</v>
      </c>
      <c r="D12" s="389">
        <f t="shared" si="1"/>
        <v>1046988</v>
      </c>
      <c r="E12" s="394">
        <v>0.05</v>
      </c>
      <c r="F12" s="391">
        <f t="shared" si="2"/>
        <v>428015.76750000007</v>
      </c>
      <c r="G12" s="469">
        <f t="shared" si="0"/>
        <v>1475003.7675000001</v>
      </c>
      <c r="H12" s="150"/>
      <c r="I12" s="213"/>
      <c r="J12" s="123"/>
      <c r="L12" s="123"/>
      <c r="M12" s="123"/>
      <c r="N12" s="123"/>
    </row>
    <row r="13" spans="2:14" x14ac:dyDescent="0.25">
      <c r="B13" s="392" t="s">
        <v>49</v>
      </c>
      <c r="C13" s="393">
        <v>3.07</v>
      </c>
      <c r="D13" s="389">
        <f t="shared" si="1"/>
        <v>632727</v>
      </c>
      <c r="E13" s="394">
        <v>0.05</v>
      </c>
      <c r="F13" s="391">
        <f t="shared" si="2"/>
        <v>428015.76750000007</v>
      </c>
      <c r="G13" s="469">
        <f t="shared" si="0"/>
        <v>1060742.7675000001</v>
      </c>
      <c r="H13" s="150"/>
      <c r="I13" s="213"/>
      <c r="J13" s="123"/>
      <c r="L13" s="123"/>
      <c r="M13" s="123"/>
      <c r="N13" s="123"/>
    </row>
    <row r="14" spans="2:14" x14ac:dyDescent="0.25">
      <c r="B14" s="392" t="s">
        <v>50</v>
      </c>
      <c r="C14" s="393">
        <v>9.51</v>
      </c>
      <c r="D14" s="389">
        <f t="shared" si="1"/>
        <v>1960011</v>
      </c>
      <c r="E14" s="394">
        <v>0.05</v>
      </c>
      <c r="F14" s="391">
        <f t="shared" si="2"/>
        <v>428015.76750000007</v>
      </c>
      <c r="G14" s="469">
        <f t="shared" si="0"/>
        <v>2388026.7675000001</v>
      </c>
      <c r="H14" s="150"/>
      <c r="I14" s="213"/>
      <c r="J14" s="123"/>
      <c r="L14" s="123"/>
      <c r="M14" s="123"/>
      <c r="N14" s="123"/>
    </row>
    <row r="15" spans="2:14" x14ac:dyDescent="0.25">
      <c r="B15" s="392" t="s">
        <v>51</v>
      </c>
      <c r="C15" s="393">
        <v>9.33</v>
      </c>
      <c r="D15" s="389">
        <f t="shared" si="1"/>
        <v>1922913</v>
      </c>
      <c r="E15" s="394">
        <v>0.05</v>
      </c>
      <c r="F15" s="391">
        <f t="shared" si="2"/>
        <v>428015.76750000007</v>
      </c>
      <c r="G15" s="469">
        <f t="shared" si="0"/>
        <v>2350928.7675000001</v>
      </c>
      <c r="H15" s="150"/>
      <c r="I15" s="213"/>
      <c r="J15" s="123"/>
      <c r="L15" s="123"/>
      <c r="M15" s="123"/>
      <c r="N15" s="123"/>
    </row>
    <row r="16" spans="2:14" x14ac:dyDescent="0.25">
      <c r="B16" s="392" t="s">
        <v>52</v>
      </c>
      <c r="C16" s="393">
        <v>4.5199999999999996</v>
      </c>
      <c r="D16" s="389">
        <f t="shared" si="1"/>
        <v>931571.99999999988</v>
      </c>
      <c r="E16" s="394">
        <v>0.05</v>
      </c>
      <c r="F16" s="391">
        <f t="shared" si="2"/>
        <v>428015.76750000007</v>
      </c>
      <c r="G16" s="469">
        <f t="shared" si="0"/>
        <v>1359587.7675000001</v>
      </c>
      <c r="H16" s="150"/>
      <c r="I16" s="213"/>
      <c r="J16" s="123"/>
      <c r="L16" s="123"/>
      <c r="M16" s="123"/>
      <c r="N16" s="123"/>
    </row>
    <row r="17" spans="2:17" x14ac:dyDescent="0.25">
      <c r="B17" s="392" t="s">
        <v>53</v>
      </c>
      <c r="C17" s="393">
        <v>5.08</v>
      </c>
      <c r="D17" s="389">
        <f t="shared" si="1"/>
        <v>1046988</v>
      </c>
      <c r="E17" s="394">
        <v>0.05</v>
      </c>
      <c r="F17" s="391">
        <f t="shared" si="2"/>
        <v>428015.76750000007</v>
      </c>
      <c r="G17" s="469">
        <f t="shared" si="0"/>
        <v>1475003.7675000001</v>
      </c>
      <c r="H17" s="150"/>
      <c r="I17" s="213"/>
      <c r="J17" s="123"/>
      <c r="L17" s="123"/>
      <c r="M17" s="123"/>
      <c r="N17" s="123"/>
    </row>
    <row r="18" spans="2:17" x14ac:dyDescent="0.25">
      <c r="B18" s="392" t="s">
        <v>54</v>
      </c>
      <c r="C18" s="393">
        <v>8.92</v>
      </c>
      <c r="D18" s="389">
        <f t="shared" si="1"/>
        <v>1838412</v>
      </c>
      <c r="E18" s="394">
        <v>0.05</v>
      </c>
      <c r="F18" s="391">
        <f t="shared" si="2"/>
        <v>428015.76750000007</v>
      </c>
      <c r="G18" s="469">
        <f t="shared" si="0"/>
        <v>2266427.7675000001</v>
      </c>
      <c r="H18" s="150"/>
      <c r="I18" s="213"/>
      <c r="J18" s="123"/>
      <c r="L18" s="123"/>
      <c r="M18" s="123"/>
      <c r="N18" s="123"/>
    </row>
    <row r="19" spans="2:17" x14ac:dyDescent="0.25">
      <c r="B19" s="392" t="s">
        <v>55</v>
      </c>
      <c r="C19" s="393">
        <v>5.0199999999999996</v>
      </c>
      <c r="D19" s="389">
        <f t="shared" si="1"/>
        <v>1034621.9999999999</v>
      </c>
      <c r="E19" s="394">
        <v>0.05</v>
      </c>
      <c r="F19" s="391">
        <f t="shared" si="2"/>
        <v>428015.76750000007</v>
      </c>
      <c r="G19" s="469">
        <f t="shared" si="0"/>
        <v>1462637.7675000001</v>
      </c>
      <c r="H19" s="150"/>
      <c r="I19" s="213"/>
      <c r="J19" s="123"/>
      <c r="L19" s="123"/>
      <c r="M19" s="123"/>
      <c r="N19" s="123"/>
    </row>
    <row r="20" spans="2:17" x14ac:dyDescent="0.25">
      <c r="B20" s="392" t="s">
        <v>56</v>
      </c>
      <c r="C20" s="393">
        <v>4.29</v>
      </c>
      <c r="D20" s="389">
        <f t="shared" si="1"/>
        <v>884169</v>
      </c>
      <c r="E20" s="394">
        <v>0.05</v>
      </c>
      <c r="F20" s="391">
        <f t="shared" si="2"/>
        <v>428015.76750000007</v>
      </c>
      <c r="G20" s="469">
        <f t="shared" si="0"/>
        <v>1312184.7675000001</v>
      </c>
      <c r="H20" s="150"/>
      <c r="I20" s="213"/>
      <c r="J20" s="123"/>
      <c r="L20" s="123"/>
      <c r="M20" s="123"/>
      <c r="N20" s="123"/>
    </row>
    <row r="21" spans="2:17" x14ac:dyDescent="0.25">
      <c r="B21" s="392" t="s">
        <v>57</v>
      </c>
      <c r="C21" s="393">
        <v>3.04</v>
      </c>
      <c r="D21" s="389">
        <f t="shared" si="1"/>
        <v>626544</v>
      </c>
      <c r="E21" s="394">
        <v>0.05</v>
      </c>
      <c r="F21" s="391">
        <f t="shared" si="2"/>
        <v>428015.76750000007</v>
      </c>
      <c r="G21" s="469">
        <f t="shared" si="0"/>
        <v>1054559.7675000001</v>
      </c>
      <c r="H21" s="150"/>
      <c r="I21" s="213"/>
      <c r="J21" s="123"/>
      <c r="L21" s="123"/>
      <c r="M21" s="123"/>
      <c r="N21" s="123"/>
    </row>
    <row r="22" spans="2:17" x14ac:dyDescent="0.25">
      <c r="B22" s="392" t="s">
        <v>58</v>
      </c>
      <c r="C22" s="393">
        <v>6.7</v>
      </c>
      <c r="D22" s="389">
        <f t="shared" si="1"/>
        <v>1380870</v>
      </c>
      <c r="E22" s="394">
        <v>0.05</v>
      </c>
      <c r="F22" s="391">
        <f t="shared" si="2"/>
        <v>428015.76750000007</v>
      </c>
      <c r="G22" s="469">
        <f t="shared" si="0"/>
        <v>1808885.7675000001</v>
      </c>
      <c r="H22" s="150"/>
      <c r="I22" s="213"/>
      <c r="J22" s="123"/>
      <c r="L22" s="123"/>
      <c r="M22" s="123"/>
      <c r="N22" s="123"/>
    </row>
    <row r="23" spans="2:17" x14ac:dyDescent="0.25">
      <c r="B23" s="392" t="s">
        <v>59</v>
      </c>
      <c r="C23" s="393">
        <v>5.08</v>
      </c>
      <c r="D23" s="389">
        <f t="shared" si="1"/>
        <v>1046988</v>
      </c>
      <c r="E23" s="394">
        <v>0.05</v>
      </c>
      <c r="F23" s="391">
        <f t="shared" si="2"/>
        <v>428015.76750000007</v>
      </c>
      <c r="G23" s="469">
        <f t="shared" si="0"/>
        <v>1475003.7675000001</v>
      </c>
      <c r="H23" s="150"/>
      <c r="I23" s="213"/>
      <c r="J23" s="123"/>
      <c r="L23" s="123"/>
      <c r="M23" s="123"/>
      <c r="N23" s="123"/>
    </row>
    <row r="24" spans="2:17" x14ac:dyDescent="0.25">
      <c r="B24" s="392" t="s">
        <v>60</v>
      </c>
      <c r="C24" s="393">
        <v>1.7</v>
      </c>
      <c r="D24" s="389">
        <f t="shared" si="1"/>
        <v>350370</v>
      </c>
      <c r="E24" s="394">
        <v>0.05</v>
      </c>
      <c r="F24" s="391">
        <f t="shared" si="2"/>
        <v>428015.76750000007</v>
      </c>
      <c r="G24" s="469">
        <f t="shared" si="0"/>
        <v>778385.76750000007</v>
      </c>
      <c r="H24" s="150"/>
      <c r="I24" s="213"/>
      <c r="J24" s="123"/>
      <c r="L24" s="123"/>
      <c r="M24" s="123"/>
      <c r="N24" s="123"/>
    </row>
    <row r="25" spans="2:17" x14ac:dyDescent="0.25">
      <c r="B25" s="392" t="s">
        <v>61</v>
      </c>
      <c r="C25" s="393">
        <v>4.08</v>
      </c>
      <c r="D25" s="389">
        <f t="shared" si="1"/>
        <v>840888</v>
      </c>
      <c r="E25" s="394">
        <v>0.05</v>
      </c>
      <c r="F25" s="391">
        <f t="shared" si="2"/>
        <v>428015.76750000007</v>
      </c>
      <c r="G25" s="469">
        <f t="shared" si="0"/>
        <v>1268903.7675000001</v>
      </c>
      <c r="H25" s="150"/>
      <c r="I25" s="213"/>
      <c r="J25" s="123"/>
      <c r="L25" s="123"/>
      <c r="M25" s="123"/>
      <c r="N25" s="123"/>
    </row>
    <row r="26" spans="2:17" x14ac:dyDescent="0.25">
      <c r="B26" s="392" t="s">
        <v>62</v>
      </c>
      <c r="C26" s="393">
        <v>0.37</v>
      </c>
      <c r="D26" s="389">
        <f t="shared" si="1"/>
        <v>76257</v>
      </c>
      <c r="E26" s="394">
        <v>0.05</v>
      </c>
      <c r="F26" s="391">
        <f t="shared" si="2"/>
        <v>428015.76750000007</v>
      </c>
      <c r="G26" s="469">
        <f t="shared" si="0"/>
        <v>504272.76750000007</v>
      </c>
      <c r="H26" s="150"/>
      <c r="I26" s="213"/>
      <c r="J26" s="123"/>
      <c r="L26" s="123"/>
      <c r="M26" s="123"/>
      <c r="N26" s="123"/>
    </row>
    <row r="27" spans="2:17" x14ac:dyDescent="0.25">
      <c r="B27" s="392" t="s">
        <v>63</v>
      </c>
      <c r="C27" s="393">
        <v>3.77</v>
      </c>
      <c r="D27" s="389">
        <f t="shared" si="1"/>
        <v>776997</v>
      </c>
      <c r="E27" s="394">
        <v>0.05</v>
      </c>
      <c r="F27" s="391">
        <f t="shared" si="2"/>
        <v>428015.76750000007</v>
      </c>
      <c r="G27" s="469">
        <f t="shared" si="0"/>
        <v>1205012.7675000001</v>
      </c>
      <c r="H27" s="150"/>
      <c r="I27" s="213"/>
      <c r="J27" s="123"/>
      <c r="L27" s="123"/>
      <c r="M27" s="123"/>
      <c r="N27" s="123"/>
    </row>
    <row r="28" spans="2:17" ht="15.75" thickBot="1" x14ac:dyDescent="0.3">
      <c r="B28" s="395" t="s">
        <v>64</v>
      </c>
      <c r="C28" s="396">
        <v>4.5999999999999996</v>
      </c>
      <c r="D28" s="397">
        <f t="shared" si="1"/>
        <v>948060</v>
      </c>
      <c r="E28" s="398">
        <v>0.05</v>
      </c>
      <c r="F28" s="391">
        <f>$F$29*E28-5</f>
        <v>428010.76750000007</v>
      </c>
      <c r="G28" s="469">
        <f t="shared" si="0"/>
        <v>1376070.7675000001</v>
      </c>
      <c r="H28" s="150"/>
      <c r="I28" s="213"/>
      <c r="J28" s="123"/>
      <c r="L28" s="123"/>
      <c r="M28" s="123"/>
      <c r="N28" s="123"/>
    </row>
    <row r="29" spans="2:17" ht="15.75" thickBot="1" x14ac:dyDescent="0.3">
      <c r="B29" s="317" t="s">
        <v>65</v>
      </c>
      <c r="C29" s="399">
        <f t="shared" ref="C29" si="3">SUM(C9:C28)</f>
        <v>100</v>
      </c>
      <c r="D29" s="319">
        <f>Datos!K50</f>
        <v>20610000</v>
      </c>
      <c r="E29" s="337">
        <v>100</v>
      </c>
      <c r="F29" s="400">
        <f>Datos!K51</f>
        <v>8560315.3500000015</v>
      </c>
      <c r="G29" s="401">
        <f>SUM(G9:G28)+5</f>
        <v>29170315.349999987</v>
      </c>
      <c r="H29" s="528"/>
      <c r="I29" s="156"/>
      <c r="J29" s="636"/>
      <c r="K29" s="156"/>
      <c r="L29" s="636"/>
      <c r="M29" s="636"/>
      <c r="N29" s="636"/>
      <c r="O29" s="156"/>
      <c r="P29" s="156"/>
      <c r="Q29" s="156"/>
    </row>
    <row r="30" spans="2:17" x14ac:dyDescent="0.25">
      <c r="B30" s="1073" t="s">
        <v>295</v>
      </c>
      <c r="C30" s="1073"/>
      <c r="D30" s="1073"/>
      <c r="E30" s="1073"/>
      <c r="F30" s="1073"/>
      <c r="G30" s="1073"/>
      <c r="H30" s="527"/>
      <c r="I30" s="527"/>
      <c r="J30" s="637"/>
      <c r="K30" s="527"/>
      <c r="L30" s="527"/>
      <c r="M30" s="527"/>
      <c r="N30" s="527"/>
      <c r="O30" s="527"/>
      <c r="P30" s="527"/>
      <c r="Q30" s="527"/>
    </row>
  </sheetData>
  <mergeCells count="9">
    <mergeCell ref="B30:G30"/>
    <mergeCell ref="B1:G2"/>
    <mergeCell ref="B5:B8"/>
    <mergeCell ref="D5:D7"/>
    <mergeCell ref="C5:C7"/>
    <mergeCell ref="B3:G3"/>
    <mergeCell ref="E5:E7"/>
    <mergeCell ref="F5:F7"/>
    <mergeCell ref="G5:G7"/>
  </mergeCells>
  <printOptions horizontalCentered="1"/>
  <pageMargins left="0.70866141732283472" right="0.70866141732283472" top="0.74803149606299213" bottom="0.74803149606299213" header="0.31496062992125984" footer="0.31496062992125984"/>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B1:T34"/>
  <sheetViews>
    <sheetView workbookViewId="0">
      <selection activeCell="B1" sqref="B1:H2"/>
    </sheetView>
  </sheetViews>
  <sheetFormatPr baseColWidth="10" defaultColWidth="11.42578125" defaultRowHeight="14.25" x14ac:dyDescent="0.2"/>
  <cols>
    <col min="1" max="1" width="3.5703125" style="8" customWidth="1"/>
    <col min="2" max="2" width="20.42578125" style="8" customWidth="1"/>
    <col min="3" max="3" width="13.28515625" style="8" bestFit="1" customWidth="1"/>
    <col min="4" max="4" width="12.140625" style="8" bestFit="1" customWidth="1"/>
    <col min="5" max="5" width="10.140625" style="8" bestFit="1" customWidth="1"/>
    <col min="6" max="6" width="12.42578125" style="8" bestFit="1" customWidth="1"/>
    <col min="7" max="7" width="13.7109375" style="8" customWidth="1"/>
    <col min="8" max="8" width="13.28515625" style="76" bestFit="1" customWidth="1"/>
    <col min="9" max="16384" width="11.42578125" style="8"/>
  </cols>
  <sheetData>
    <row r="1" spans="2:8" ht="15" customHeight="1" x14ac:dyDescent="0.2">
      <c r="B1" s="1105" t="s">
        <v>458</v>
      </c>
      <c r="C1" s="1105"/>
      <c r="D1" s="1105"/>
      <c r="E1" s="1105"/>
      <c r="F1" s="1105"/>
      <c r="G1" s="1105"/>
      <c r="H1" s="1105"/>
    </row>
    <row r="2" spans="2:8" ht="15" customHeight="1" x14ac:dyDescent="0.2">
      <c r="B2" s="1105"/>
      <c r="C2" s="1105"/>
      <c r="D2" s="1105"/>
      <c r="E2" s="1105"/>
      <c r="F2" s="1105"/>
      <c r="G2" s="1105"/>
      <c r="H2" s="1105"/>
    </row>
    <row r="3" spans="2:8" ht="15" customHeight="1" x14ac:dyDescent="0.2">
      <c r="B3" s="1105" t="s">
        <v>276</v>
      </c>
      <c r="C3" s="1105"/>
      <c r="D3" s="1105"/>
      <c r="E3" s="1105"/>
      <c r="F3" s="1105"/>
      <c r="G3" s="1105"/>
      <c r="H3" s="1105"/>
    </row>
    <row r="4" spans="2:8" ht="15" thickBot="1" x14ac:dyDescent="0.25"/>
    <row r="5" spans="2:8" ht="30" customHeight="1" x14ac:dyDescent="0.25">
      <c r="B5" s="1078" t="s">
        <v>83</v>
      </c>
      <c r="C5" s="402" t="s">
        <v>84</v>
      </c>
      <c r="D5" s="402" t="s">
        <v>20</v>
      </c>
      <c r="E5" s="1117" t="s">
        <v>21</v>
      </c>
      <c r="F5" s="1117"/>
      <c r="G5" s="1117" t="s">
        <v>464</v>
      </c>
      <c r="H5" s="1119" t="s">
        <v>465</v>
      </c>
    </row>
    <row r="6" spans="2:8" ht="15" x14ac:dyDescent="0.25">
      <c r="B6" s="973"/>
      <c r="C6" s="403" t="s">
        <v>89</v>
      </c>
      <c r="D6" s="403" t="s">
        <v>30</v>
      </c>
      <c r="E6" s="1118">
        <v>2020</v>
      </c>
      <c r="F6" s="1118"/>
      <c r="G6" s="1120"/>
      <c r="H6" s="1001"/>
    </row>
    <row r="7" spans="2:8" ht="15" x14ac:dyDescent="0.25">
      <c r="B7" s="973"/>
      <c r="C7" s="404">
        <v>2014</v>
      </c>
      <c r="D7" s="404" t="s">
        <v>36</v>
      </c>
      <c r="E7" s="403" t="s">
        <v>38</v>
      </c>
      <c r="F7" s="403" t="s">
        <v>37</v>
      </c>
      <c r="G7" s="1120"/>
      <c r="H7" s="1001"/>
    </row>
    <row r="8" spans="2:8" ht="15.75" thickBot="1" x14ac:dyDescent="0.3">
      <c r="B8" s="974"/>
      <c r="C8" s="405" t="s">
        <v>70</v>
      </c>
      <c r="D8" s="405" t="s">
        <v>97</v>
      </c>
      <c r="E8" s="404" t="s">
        <v>71</v>
      </c>
      <c r="F8" s="405" t="s">
        <v>98</v>
      </c>
      <c r="G8" s="405" t="s">
        <v>73</v>
      </c>
      <c r="H8" s="406" t="s">
        <v>300</v>
      </c>
    </row>
    <row r="9" spans="2:8" x14ac:dyDescent="0.2">
      <c r="B9" s="392" t="s">
        <v>45</v>
      </c>
      <c r="C9" s="393">
        <v>3.65</v>
      </c>
      <c r="D9" s="389">
        <v>1418873.625</v>
      </c>
      <c r="E9" s="407">
        <f>'CENSO 2020'!C10</f>
        <v>37232</v>
      </c>
      <c r="F9" s="408">
        <f>E9/$E$29*100</f>
        <v>3.0136241193535018</v>
      </c>
      <c r="G9" s="409">
        <f>Datos!K$56*'IEPS GyD '!F9/100</f>
        <v>543822.30487204727</v>
      </c>
      <c r="H9" s="410">
        <f>D9+G9</f>
        <v>1962695.9298720472</v>
      </c>
    </row>
    <row r="10" spans="2:8" x14ac:dyDescent="0.2">
      <c r="B10" s="392" t="s">
        <v>46</v>
      </c>
      <c r="C10" s="393">
        <v>1.49</v>
      </c>
      <c r="D10" s="389">
        <v>579211.42500000005</v>
      </c>
      <c r="E10" s="411">
        <f>'CENSO 2020'!C11</f>
        <v>15393</v>
      </c>
      <c r="F10" s="412">
        <f t="shared" ref="F10:F28" si="0">E10/$E$29*100</f>
        <v>1.2459367229589724</v>
      </c>
      <c r="G10" s="409">
        <f>Datos!K$56*'IEPS GyD '!F10/100</f>
        <v>224835.00050750494</v>
      </c>
      <c r="H10" s="410">
        <f t="shared" ref="H10:H28" si="1">D10+G10</f>
        <v>804046.42550750496</v>
      </c>
    </row>
    <row r="11" spans="2:8" x14ac:dyDescent="0.2">
      <c r="B11" s="392" t="s">
        <v>47</v>
      </c>
      <c r="C11" s="393">
        <v>1.0900000000000001</v>
      </c>
      <c r="D11" s="389">
        <v>423718.42499999999</v>
      </c>
      <c r="E11" s="411">
        <f>'CENSO 2020'!C12</f>
        <v>11536</v>
      </c>
      <c r="F11" s="412">
        <f t="shared" si="0"/>
        <v>0.93374430169912959</v>
      </c>
      <c r="G11" s="409">
        <f>Datos!K$56*'IEPS GyD '!F11/100</f>
        <v>168498.44512795273</v>
      </c>
      <c r="H11" s="410">
        <f t="shared" si="1"/>
        <v>592216.87012795266</v>
      </c>
    </row>
    <row r="12" spans="2:8" x14ac:dyDescent="0.2">
      <c r="B12" s="392" t="s">
        <v>48</v>
      </c>
      <c r="C12" s="393">
        <v>8.82</v>
      </c>
      <c r="D12" s="389">
        <v>3428620.65</v>
      </c>
      <c r="E12" s="411">
        <f>'CENSO 2020'!C13</f>
        <v>187632</v>
      </c>
      <c r="F12" s="412">
        <f t="shared" si="0"/>
        <v>15.187266887691669</v>
      </c>
      <c r="G12" s="409">
        <f>Datos!K$56*'IEPS GyD '!F12/100</f>
        <v>2740612.019438976</v>
      </c>
      <c r="H12" s="410">
        <f t="shared" si="1"/>
        <v>6169232.6694389759</v>
      </c>
    </row>
    <row r="13" spans="2:8" x14ac:dyDescent="0.2">
      <c r="B13" s="392" t="s">
        <v>49</v>
      </c>
      <c r="C13" s="393">
        <v>6.63</v>
      </c>
      <c r="D13" s="389">
        <v>2577296.4750000001</v>
      </c>
      <c r="E13" s="411">
        <f>'CENSO 2020'!C14</f>
        <v>77436</v>
      </c>
      <c r="F13" s="412">
        <f t="shared" si="0"/>
        <v>6.2678071902196431</v>
      </c>
      <c r="G13" s="409">
        <f>Datos!K$56*'IEPS GyD '!F13/100</f>
        <v>1131054.5767101378</v>
      </c>
      <c r="H13" s="410">
        <f t="shared" si="1"/>
        <v>3708351.0517101381</v>
      </c>
    </row>
    <row r="14" spans="2:8" x14ac:dyDescent="0.2">
      <c r="B14" s="392" t="s">
        <v>50</v>
      </c>
      <c r="C14" s="393">
        <v>3.22</v>
      </c>
      <c r="D14" s="389">
        <v>1251718.6500000001</v>
      </c>
      <c r="E14" s="411">
        <f>'CENSO 2020'!C15</f>
        <v>47550</v>
      </c>
      <c r="F14" s="412">
        <f t="shared" si="0"/>
        <v>3.8487813406547868</v>
      </c>
      <c r="G14" s="409">
        <f>Datos!K$56*'IEPS GyD '!F14/100</f>
        <v>694530.25882750982</v>
      </c>
      <c r="H14" s="410">
        <f t="shared" si="1"/>
        <v>1946248.90882751</v>
      </c>
    </row>
    <row r="15" spans="2:8" x14ac:dyDescent="0.2">
      <c r="B15" s="392" t="s">
        <v>51</v>
      </c>
      <c r="C15" s="393">
        <v>1.1100000000000001</v>
      </c>
      <c r="D15" s="389">
        <v>431493.07500000001</v>
      </c>
      <c r="E15" s="411">
        <f>'CENSO 2020'!C16</f>
        <v>12230</v>
      </c>
      <c r="F15" s="412">
        <f t="shared" si="0"/>
        <v>0.98991789266473262</v>
      </c>
      <c r="G15" s="409">
        <f>Datos!K$56*'IEPS GyD '!F15/100</f>
        <v>178635.22745447833</v>
      </c>
      <c r="H15" s="410">
        <f t="shared" si="1"/>
        <v>610128.30245447834</v>
      </c>
    </row>
    <row r="16" spans="2:8" x14ac:dyDescent="0.2">
      <c r="B16" s="392" t="s">
        <v>52</v>
      </c>
      <c r="C16" s="393">
        <v>2.71</v>
      </c>
      <c r="D16" s="389">
        <v>1053465.075</v>
      </c>
      <c r="E16" s="411">
        <f>'CENSO 2020'!C17</f>
        <v>29299</v>
      </c>
      <c r="F16" s="412">
        <f t="shared" si="0"/>
        <v>2.3715130283878989</v>
      </c>
      <c r="G16" s="409">
        <f>Datos!K$56*'IEPS GyD '!F16/100</f>
        <v>427950.41121739661</v>
      </c>
      <c r="H16" s="410">
        <f t="shared" si="1"/>
        <v>1481415.4862173966</v>
      </c>
    </row>
    <row r="17" spans="2:16" x14ac:dyDescent="0.2">
      <c r="B17" s="392" t="s">
        <v>53</v>
      </c>
      <c r="C17" s="393">
        <v>1.69</v>
      </c>
      <c r="D17" s="389">
        <v>656957.92499999993</v>
      </c>
      <c r="E17" s="411">
        <f>'CENSO 2020'!C18</f>
        <v>19321</v>
      </c>
      <c r="F17" s="412">
        <f t="shared" si="0"/>
        <v>1.563876010153336</v>
      </c>
      <c r="G17" s="409">
        <f>Datos!K$56*'IEPS GyD '!F17/100</f>
        <v>282208.60422305611</v>
      </c>
      <c r="H17" s="410">
        <f t="shared" si="1"/>
        <v>939166.52922305604</v>
      </c>
    </row>
    <row r="18" spans="2:16" x14ac:dyDescent="0.2">
      <c r="B18" s="392" t="s">
        <v>54</v>
      </c>
      <c r="C18" s="393">
        <v>1.27</v>
      </c>
      <c r="D18" s="389">
        <v>493690.27500000002</v>
      </c>
      <c r="E18" s="411">
        <f>'CENSO 2020'!C19</f>
        <v>13719</v>
      </c>
      <c r="F18" s="412">
        <f t="shared" si="0"/>
        <v>1.1104401937422297</v>
      </c>
      <c r="G18" s="409">
        <f>Datos!K$56*'IEPS GyD '!F18/100</f>
        <v>200384.02988127462</v>
      </c>
      <c r="H18" s="410">
        <f t="shared" si="1"/>
        <v>694074.3048812747</v>
      </c>
    </row>
    <row r="19" spans="2:16" x14ac:dyDescent="0.2">
      <c r="B19" s="392" t="s">
        <v>55</v>
      </c>
      <c r="C19" s="393">
        <v>3.39</v>
      </c>
      <c r="D19" s="389">
        <v>1317803.175</v>
      </c>
      <c r="E19" s="411">
        <f>'CENSO 2020'!C20</f>
        <v>33567</v>
      </c>
      <c r="F19" s="412">
        <f t="shared" si="0"/>
        <v>2.7169725186489848</v>
      </c>
      <c r="G19" s="409">
        <f>Datos!K$56*'IEPS GyD '!F19/100</f>
        <v>490290.16189406993</v>
      </c>
      <c r="H19" s="410">
        <f t="shared" si="1"/>
        <v>1808093.33689407</v>
      </c>
    </row>
    <row r="20" spans="2:16" x14ac:dyDescent="0.2">
      <c r="B20" s="392" t="s">
        <v>56</v>
      </c>
      <c r="C20" s="393">
        <v>2.21</v>
      </c>
      <c r="D20" s="389">
        <v>859098.82499999995</v>
      </c>
      <c r="E20" s="411">
        <f>'CENSO 2020'!C21</f>
        <v>24096</v>
      </c>
      <c r="F20" s="412">
        <f t="shared" si="0"/>
        <v>1.9503729796933278</v>
      </c>
      <c r="G20" s="409">
        <f>Datos!K$56*'IEPS GyD '!F20/100</f>
        <v>351953.75639763777</v>
      </c>
      <c r="H20" s="410">
        <f t="shared" si="1"/>
        <v>1211052.5813976377</v>
      </c>
    </row>
    <row r="21" spans="2:16" x14ac:dyDescent="0.2">
      <c r="B21" s="392" t="s">
        <v>57</v>
      </c>
      <c r="C21" s="393">
        <v>3.95</v>
      </c>
      <c r="D21" s="389">
        <v>1535493.375</v>
      </c>
      <c r="E21" s="411">
        <f>'CENSO 2020'!C22</f>
        <v>41518</v>
      </c>
      <c r="F21" s="412">
        <f t="shared" si="0"/>
        <v>3.3605405615416495</v>
      </c>
      <c r="G21" s="409">
        <f>Datos!K$56*'IEPS GyD '!F21/100</f>
        <v>606424.96921136812</v>
      </c>
      <c r="H21" s="410">
        <f t="shared" si="1"/>
        <v>2141918.3442113679</v>
      </c>
    </row>
    <row r="22" spans="2:16" x14ac:dyDescent="0.2">
      <c r="B22" s="392" t="s">
        <v>58</v>
      </c>
      <c r="C22" s="393">
        <v>0.75</v>
      </c>
      <c r="D22" s="389">
        <v>291549.375</v>
      </c>
      <c r="E22" s="411">
        <f>'CENSO 2020'!C23</f>
        <v>7683</v>
      </c>
      <c r="F22" s="412">
        <f t="shared" si="0"/>
        <v>0.62187564753418989</v>
      </c>
      <c r="G22" s="409">
        <f>Datos!K$56*'IEPS GyD '!F22/100</f>
        <v>112220.31500676674</v>
      </c>
      <c r="H22" s="410">
        <f t="shared" si="1"/>
        <v>403769.69000676676</v>
      </c>
    </row>
    <row r="23" spans="2:16" x14ac:dyDescent="0.2">
      <c r="B23" s="392" t="s">
        <v>59</v>
      </c>
      <c r="C23" s="393">
        <v>2.2799999999999998</v>
      </c>
      <c r="D23" s="389">
        <v>886310.09999999986</v>
      </c>
      <c r="E23" s="411">
        <f>'CENSO 2020'!C24</f>
        <v>24911</v>
      </c>
      <c r="F23" s="412">
        <f t="shared" si="0"/>
        <v>2.0163405252797348</v>
      </c>
      <c r="G23" s="409">
        <f>Datos!K$56*'IEPS GyD '!F23/100</f>
        <v>363857.90278973919</v>
      </c>
      <c r="H23" s="410">
        <f t="shared" si="1"/>
        <v>1250168.0027897391</v>
      </c>
    </row>
    <row r="24" spans="2:16" x14ac:dyDescent="0.2">
      <c r="B24" s="392" t="s">
        <v>60</v>
      </c>
      <c r="C24" s="393">
        <v>8.8800000000000008</v>
      </c>
      <c r="D24" s="389">
        <v>3451944.6</v>
      </c>
      <c r="E24" s="411">
        <f>'CENSO 2020'!C25</f>
        <v>93981</v>
      </c>
      <c r="F24" s="412">
        <f t="shared" si="0"/>
        <v>7.6069888365105687</v>
      </c>
      <c r="G24" s="409">
        <f>Datos!K$56*'IEPS GyD '!F24/100</f>
        <v>1372716.0516270918</v>
      </c>
      <c r="H24" s="410">
        <f t="shared" si="1"/>
        <v>4824660.6516270917</v>
      </c>
    </row>
    <row r="25" spans="2:16" x14ac:dyDescent="0.2">
      <c r="B25" s="392" t="s">
        <v>61</v>
      </c>
      <c r="C25" s="393">
        <v>3.92</v>
      </c>
      <c r="D25" s="389">
        <v>1523831.4000000001</v>
      </c>
      <c r="E25" s="411">
        <f>'CENSO 2020'!C26</f>
        <v>37135</v>
      </c>
      <c r="F25" s="412">
        <f t="shared" si="0"/>
        <v>3.0057727673021133</v>
      </c>
      <c r="G25" s="409">
        <f>Datos!K$56*'IEPS GyD '!F25/100</f>
        <v>542405.49235666823</v>
      </c>
      <c r="H25" s="410">
        <f t="shared" si="1"/>
        <v>2066236.8923566684</v>
      </c>
    </row>
    <row r="26" spans="2:16" x14ac:dyDescent="0.2">
      <c r="B26" s="392" t="s">
        <v>62</v>
      </c>
      <c r="C26" s="393">
        <v>35.42</v>
      </c>
      <c r="D26" s="389">
        <v>13768905.15</v>
      </c>
      <c r="E26" s="411">
        <f>'CENSO 2020'!C27</f>
        <v>425924</v>
      </c>
      <c r="F26" s="412">
        <f t="shared" si="0"/>
        <v>34.475044032324909</v>
      </c>
      <c r="G26" s="409">
        <f>Datos!K$56*'IEPS GyD '!F26/100</f>
        <v>6221179.9360851385</v>
      </c>
      <c r="H26" s="410">
        <f t="shared" si="1"/>
        <v>19990085.086085141</v>
      </c>
    </row>
    <row r="27" spans="2:16" x14ac:dyDescent="0.2">
      <c r="B27" s="392" t="s">
        <v>63</v>
      </c>
      <c r="C27" s="393">
        <v>3</v>
      </c>
      <c r="D27" s="389">
        <v>1166197.5</v>
      </c>
      <c r="E27" s="411">
        <f>'CENSO 2020'!C28</f>
        <v>30064</v>
      </c>
      <c r="F27" s="412">
        <f t="shared" si="0"/>
        <v>2.4334334852880231</v>
      </c>
      <c r="G27" s="409">
        <f>Datos!K$56*'IEPS GyD '!F27/100</f>
        <v>439124.24187992123</v>
      </c>
      <c r="H27" s="410">
        <f t="shared" si="1"/>
        <v>1605321.7418799212</v>
      </c>
    </row>
    <row r="28" spans="2:16" ht="15" thickBot="1" x14ac:dyDescent="0.25">
      <c r="B28" s="392" t="s">
        <v>64</v>
      </c>
      <c r="C28" s="393">
        <v>4.5199999999999996</v>
      </c>
      <c r="D28" s="389">
        <v>1757070.9</v>
      </c>
      <c r="E28" s="790">
        <f>'CENSO 2020'!C29</f>
        <v>65229</v>
      </c>
      <c r="F28" s="413">
        <f t="shared" si="0"/>
        <v>5.2797509583506006</v>
      </c>
      <c r="G28" s="409">
        <f>Datos!K$56*'IEPS GyD '!F28/100</f>
        <v>952755.29449126462</v>
      </c>
      <c r="H28" s="410">
        <f t="shared" si="1"/>
        <v>2709826.1944912644</v>
      </c>
    </row>
    <row r="29" spans="2:16" ht="15.75" thickBot="1" x14ac:dyDescent="0.3">
      <c r="B29" s="317" t="s">
        <v>65</v>
      </c>
      <c r="C29" s="399">
        <f>SUM(C9:C28)</f>
        <v>100.00000000000001</v>
      </c>
      <c r="D29" s="319">
        <f>SUM(D9:D28)</f>
        <v>38873250</v>
      </c>
      <c r="E29" s="414">
        <f>SUM(E9:E28)</f>
        <v>1235456</v>
      </c>
      <c r="F29" s="415">
        <f>SUM(F9:F28)</f>
        <v>100</v>
      </c>
      <c r="G29" s="416">
        <f>SUM(G9:G28)</f>
        <v>18045459</v>
      </c>
      <c r="H29" s="417">
        <f>D29+G29</f>
        <v>56918709</v>
      </c>
    </row>
    <row r="30" spans="2:16" ht="15" customHeight="1" x14ac:dyDescent="0.2">
      <c r="B30" s="1121" t="s">
        <v>295</v>
      </c>
      <c r="C30" s="1121"/>
      <c r="D30" s="1121"/>
      <c r="E30" s="1121"/>
      <c r="F30" s="1121"/>
      <c r="G30" s="1121"/>
      <c r="H30" s="1121"/>
    </row>
    <row r="31" spans="2:16" x14ac:dyDescent="0.2">
      <c r="B31" s="526" t="s">
        <v>294</v>
      </c>
      <c r="C31" s="529"/>
      <c r="D31" s="530"/>
      <c r="E31" s="530"/>
      <c r="F31" s="530"/>
      <c r="G31" s="531"/>
      <c r="H31" s="530"/>
      <c r="I31" s="530"/>
      <c r="J31" s="532"/>
      <c r="K31" s="532"/>
      <c r="L31" s="533"/>
      <c r="M31" s="533"/>
      <c r="N31" s="534"/>
      <c r="O31" s="530"/>
      <c r="P31" s="530"/>
    </row>
    <row r="32" spans="2:16" ht="55.5" customHeight="1" x14ac:dyDescent="0.2">
      <c r="B32" s="1074" t="s">
        <v>297</v>
      </c>
      <c r="C32" s="1074"/>
      <c r="D32" s="1074"/>
      <c r="E32" s="1074"/>
      <c r="F32" s="1074"/>
      <c r="G32" s="1074"/>
      <c r="H32" s="1074"/>
      <c r="I32" s="535"/>
      <c r="J32" s="535"/>
      <c r="K32" s="535"/>
      <c r="L32" s="535"/>
      <c r="M32" s="535"/>
      <c r="N32" s="538"/>
      <c r="O32" s="535"/>
      <c r="P32" s="535"/>
    </row>
    <row r="33" spans="2:20" ht="14.25" customHeight="1" x14ac:dyDescent="0.2">
      <c r="B33" s="1077" t="s">
        <v>383</v>
      </c>
      <c r="C33" s="1034"/>
      <c r="D33" s="1034"/>
      <c r="E33" s="1034"/>
      <c r="F33" s="1034"/>
      <c r="G33" s="1034"/>
      <c r="H33" s="1034"/>
      <c r="I33" s="536"/>
      <c r="J33" s="536"/>
      <c r="K33" s="536"/>
      <c r="L33" s="536"/>
      <c r="M33" s="536"/>
      <c r="N33" s="536"/>
      <c r="O33" s="536"/>
      <c r="P33" s="536"/>
      <c r="Q33" s="536"/>
      <c r="R33" s="536"/>
      <c r="S33" s="536"/>
      <c r="T33" s="536"/>
    </row>
    <row r="34" spans="2:20" ht="25.5" customHeight="1" x14ac:dyDescent="0.2">
      <c r="B34" s="1074"/>
      <c r="C34" s="1074"/>
      <c r="D34" s="1074"/>
      <c r="E34" s="1074"/>
      <c r="F34" s="1074"/>
      <c r="G34" s="1074"/>
      <c r="H34" s="1074"/>
    </row>
  </sheetData>
  <mergeCells count="11">
    <mergeCell ref="B1:H2"/>
    <mergeCell ref="B3:H3"/>
    <mergeCell ref="H5:H7"/>
    <mergeCell ref="G5:G7"/>
    <mergeCell ref="B30:H30"/>
    <mergeCell ref="B34:H34"/>
    <mergeCell ref="B32:H32"/>
    <mergeCell ref="B33:H33"/>
    <mergeCell ref="B5:B8"/>
    <mergeCell ref="E5:F5"/>
    <mergeCell ref="E6:F6"/>
  </mergeCells>
  <printOptions horizontalCentered="1"/>
  <pageMargins left="0.70866141732283472" right="0.39370078740157483" top="0.49" bottom="0.74803149606299213" header="0.31496062992125984" footer="0.31496062992125984"/>
  <pageSetup orientation="landscape" r:id="rId1"/>
  <ignoredErrors>
    <ignoredError sqref="D7:D8 C8 E8:G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1:Y30"/>
  <sheetViews>
    <sheetView workbookViewId="0">
      <selection activeCell="B1" sqref="B1:L1"/>
    </sheetView>
  </sheetViews>
  <sheetFormatPr baseColWidth="10" defaultRowHeight="15" x14ac:dyDescent="0.25"/>
  <cols>
    <col min="1" max="1" width="3.5703125" customWidth="1"/>
    <col min="2" max="2" width="21.28515625" customWidth="1"/>
    <col min="3" max="3" width="15.28515625" customWidth="1"/>
    <col min="4" max="4" width="16.5703125" bestFit="1" customWidth="1"/>
    <col min="5" max="5" width="14.7109375" customWidth="1"/>
    <col min="6" max="6" width="15.28515625" bestFit="1" customWidth="1"/>
    <col min="7" max="7" width="14" customWidth="1"/>
    <col min="8" max="10" width="15.5703125" customWidth="1"/>
    <col min="11" max="11" width="15.5703125" hidden="1" customWidth="1"/>
    <col min="12" max="12" width="14.140625" hidden="1" customWidth="1"/>
    <col min="13" max="13" width="19" hidden="1" customWidth="1"/>
    <col min="14" max="14" width="17.5703125" hidden="1" customWidth="1"/>
    <col min="15" max="15" width="16.5703125" hidden="1" customWidth="1"/>
    <col min="16" max="16" width="14.85546875" hidden="1" customWidth="1"/>
    <col min="17" max="18" width="15.42578125" style="9" hidden="1" customWidth="1"/>
    <col min="19" max="19" width="15.85546875" customWidth="1"/>
    <col min="20" max="20" width="14.7109375" customWidth="1"/>
    <col min="21" max="21" width="15.140625" customWidth="1"/>
  </cols>
  <sheetData>
    <row r="1" spans="2:25" x14ac:dyDescent="0.25">
      <c r="B1" s="1050" t="s">
        <v>459</v>
      </c>
      <c r="C1" s="1050"/>
      <c r="D1" s="1050"/>
      <c r="E1" s="1050"/>
      <c r="F1" s="1050"/>
      <c r="G1" s="1050"/>
      <c r="H1" s="1050"/>
      <c r="I1" s="1050"/>
      <c r="J1" s="1050"/>
      <c r="K1" s="1125"/>
      <c r="L1" s="1125"/>
      <c r="M1" s="8"/>
      <c r="N1" s="8"/>
      <c r="O1" s="8"/>
      <c r="P1" s="8"/>
      <c r="S1" s="185"/>
    </row>
    <row r="2" spans="2:25" x14ac:dyDescent="0.25">
      <c r="B2" s="980" t="s">
        <v>276</v>
      </c>
      <c r="C2" s="980"/>
      <c r="D2" s="980"/>
      <c r="E2" s="980"/>
      <c r="F2" s="980"/>
      <c r="G2" s="980"/>
      <c r="H2" s="980"/>
      <c r="I2" s="980"/>
      <c r="J2" s="980"/>
      <c r="K2" s="8"/>
      <c r="L2" s="8"/>
      <c r="M2" s="8"/>
      <c r="N2" s="185" t="s">
        <v>170</v>
      </c>
      <c r="O2" s="8"/>
      <c r="P2" s="8"/>
      <c r="Q2" s="76"/>
      <c r="R2" s="76"/>
    </row>
    <row r="3" spans="2:25" ht="15.75" thickBot="1" x14ac:dyDescent="0.3">
      <c r="M3" s="186"/>
      <c r="N3" s="186"/>
      <c r="O3" s="186"/>
      <c r="P3" s="186"/>
      <c r="Q3" s="186"/>
      <c r="R3" s="186"/>
      <c r="S3" s="186"/>
    </row>
    <row r="4" spans="2:25" ht="15" customHeight="1" x14ac:dyDescent="0.25">
      <c r="B4" s="986" t="s">
        <v>83</v>
      </c>
      <c r="C4" s="342" t="s">
        <v>139</v>
      </c>
      <c r="D4" s="1126" t="s">
        <v>238</v>
      </c>
      <c r="E4" s="444" t="s">
        <v>140</v>
      </c>
      <c r="F4" s="1126" t="s">
        <v>239</v>
      </c>
      <c r="G4" s="444" t="s">
        <v>29</v>
      </c>
      <c r="H4" s="444" t="s">
        <v>29</v>
      </c>
      <c r="I4" s="1126" t="s">
        <v>240</v>
      </c>
      <c r="J4" s="1128" t="s">
        <v>241</v>
      </c>
      <c r="K4" s="194"/>
      <c r="L4" s="105" t="s">
        <v>141</v>
      </c>
      <c r="M4" s="105"/>
      <c r="N4" s="105" t="s">
        <v>24</v>
      </c>
      <c r="O4" s="1124"/>
      <c r="P4" s="1124"/>
      <c r="Q4" s="186"/>
      <c r="R4" s="186"/>
      <c r="S4" s="186"/>
      <c r="T4" s="186"/>
      <c r="U4" s="148"/>
      <c r="V4" s="148"/>
      <c r="W4" s="156"/>
      <c r="X4" s="156"/>
      <c r="Y4" s="156"/>
    </row>
    <row r="5" spans="2:25" x14ac:dyDescent="0.25">
      <c r="B5" s="987"/>
      <c r="C5" s="343" t="s">
        <v>33</v>
      </c>
      <c r="D5" s="1127"/>
      <c r="E5" s="341" t="s">
        <v>33</v>
      </c>
      <c r="F5" s="1127"/>
      <c r="G5" s="341" t="s">
        <v>33</v>
      </c>
      <c r="H5" s="341" t="s">
        <v>142</v>
      </c>
      <c r="I5" s="1127"/>
      <c r="J5" s="1129"/>
      <c r="K5" s="195"/>
      <c r="L5" s="22" t="s">
        <v>143</v>
      </c>
      <c r="M5" s="22"/>
      <c r="N5" s="22" t="s">
        <v>171</v>
      </c>
      <c r="O5" s="1124"/>
      <c r="P5" s="1124"/>
      <c r="Q5" s="186"/>
      <c r="R5" s="186"/>
      <c r="S5" s="186"/>
      <c r="T5" s="186"/>
      <c r="U5" s="148"/>
      <c r="V5" s="148"/>
      <c r="W5" s="156"/>
      <c r="X5" s="156"/>
      <c r="Y5" s="156"/>
    </row>
    <row r="6" spans="2:25" x14ac:dyDescent="0.25">
      <c r="B6" s="987"/>
      <c r="C6" s="463">
        <v>0.6</v>
      </c>
      <c r="D6" s="445" t="s">
        <v>44</v>
      </c>
      <c r="E6" s="445">
        <v>0.3</v>
      </c>
      <c r="F6" s="445" t="s">
        <v>44</v>
      </c>
      <c r="G6" s="445">
        <v>0.1</v>
      </c>
      <c r="H6" s="445"/>
      <c r="I6" s="445" t="s">
        <v>44</v>
      </c>
      <c r="J6" s="1129"/>
      <c r="K6" s="196"/>
      <c r="L6" s="22" t="s">
        <v>32</v>
      </c>
      <c r="M6" s="22"/>
      <c r="N6" s="139"/>
      <c r="O6" s="186"/>
      <c r="P6" s="186"/>
      <c r="Q6" s="186"/>
      <c r="R6" s="186"/>
      <c r="S6" s="186"/>
      <c r="T6" s="186"/>
      <c r="U6" s="148"/>
      <c r="V6" s="148"/>
      <c r="W6" s="156"/>
      <c r="X6" s="156"/>
      <c r="Y6" s="156"/>
    </row>
    <row r="7" spans="2:25" ht="15.75" thickBot="1" x14ac:dyDescent="0.3">
      <c r="B7" s="988"/>
      <c r="C7" s="541">
        <v>1</v>
      </c>
      <c r="D7" s="542" t="s">
        <v>97</v>
      </c>
      <c r="E7" s="542" t="s">
        <v>71</v>
      </c>
      <c r="F7" s="542" t="s">
        <v>98</v>
      </c>
      <c r="G7" s="542" t="s">
        <v>73</v>
      </c>
      <c r="H7" s="542" t="s">
        <v>301</v>
      </c>
      <c r="I7" s="542" t="s">
        <v>74</v>
      </c>
      <c r="J7" s="544" t="s">
        <v>302</v>
      </c>
      <c r="K7" s="197"/>
      <c r="L7" s="140" t="s">
        <v>172</v>
      </c>
      <c r="M7" s="140"/>
      <c r="N7" s="140" t="s">
        <v>173</v>
      </c>
      <c r="O7" s="161"/>
      <c r="P7" s="161"/>
      <c r="Q7" s="161"/>
      <c r="R7" s="161"/>
      <c r="S7" s="161"/>
      <c r="T7" s="186"/>
      <c r="U7" s="161"/>
      <c r="V7" s="161"/>
      <c r="W7" s="156"/>
      <c r="X7" s="156"/>
      <c r="Y7" s="156"/>
    </row>
    <row r="8" spans="2:25" ht="22.5" customHeight="1" x14ac:dyDescent="0.25">
      <c r="B8" s="151" t="s">
        <v>45</v>
      </c>
      <c r="C8" s="464">
        <f>FGP!E8</f>
        <v>3.0136241193535018</v>
      </c>
      <c r="D8" s="411">
        <f t="shared" ref="D8:D27" si="0">C8*$D$28/100</f>
        <v>169308.88632271808</v>
      </c>
      <c r="E8" s="446">
        <f>FGP!K8</f>
        <v>4.5362651544424901</v>
      </c>
      <c r="F8" s="411">
        <f t="shared" ref="F8:F27" si="1">E8*$F$28/100</f>
        <v>127426.30980932893</v>
      </c>
      <c r="G8" s="446">
        <f>FGP!Q8</f>
        <v>4.9985851648979605</v>
      </c>
      <c r="H8" s="446">
        <f>G8*10%</f>
        <v>0.49985851648979607</v>
      </c>
      <c r="I8" s="411">
        <f>G8*$I$28/100</f>
        <v>46804.38202977171</v>
      </c>
      <c r="J8" s="447">
        <f t="shared" ref="J8:J27" si="2">D8+F8+I8</f>
        <v>343539.57816181867</v>
      </c>
      <c r="K8" s="198"/>
      <c r="L8" s="199" t="e">
        <f>#REF!+#REF!+H8</f>
        <v>#REF!</v>
      </c>
      <c r="M8" s="163"/>
      <c r="N8" s="200" t="e">
        <f>[1]Datos!K$64*L8%*22.5%</f>
        <v>#REF!</v>
      </c>
      <c r="O8" s="201"/>
      <c r="P8" s="145"/>
      <c r="Q8" s="163"/>
      <c r="R8" s="121"/>
      <c r="S8" s="121"/>
      <c r="T8" s="163"/>
      <c r="U8" s="164"/>
      <c r="V8" s="165"/>
      <c r="W8" s="166"/>
      <c r="X8" s="156"/>
      <c r="Y8" s="156"/>
    </row>
    <row r="9" spans="2:25" ht="22.5" customHeight="1" x14ac:dyDescent="0.25">
      <c r="B9" s="151" t="s">
        <v>46</v>
      </c>
      <c r="C9" s="464">
        <f>FGP!E9</f>
        <v>1.2459367229589724</v>
      </c>
      <c r="D9" s="411">
        <f t="shared" si="0"/>
        <v>69998.165211796309</v>
      </c>
      <c r="E9" s="446">
        <f>FGP!K9</f>
        <v>5.3174312791477849</v>
      </c>
      <c r="F9" s="411">
        <f t="shared" si="1"/>
        <v>149369.71770773327</v>
      </c>
      <c r="G9" s="446">
        <f>FGP!Q9</f>
        <v>6.7615009524107856</v>
      </c>
      <c r="H9" s="446">
        <f t="shared" ref="H9:H28" si="3">G9*10%</f>
        <v>0.67615009524107861</v>
      </c>
      <c r="I9" s="411">
        <f t="shared" ref="I9:I27" si="4">G9*$I$28/100</f>
        <v>63311.489797885632</v>
      </c>
      <c r="J9" s="447">
        <f t="shared" si="2"/>
        <v>282679.37271741522</v>
      </c>
      <c r="K9" s="162"/>
      <c r="L9" s="202" t="e">
        <f>#REF!+#REF!+H9</f>
        <v>#REF!</v>
      </c>
      <c r="M9" s="202"/>
      <c r="N9" s="200" t="e">
        <f>[1]Datos!K$64*L9%*22.5%</f>
        <v>#REF!</v>
      </c>
      <c r="O9" s="201"/>
      <c r="P9" s="145"/>
      <c r="Q9" s="163"/>
      <c r="R9" s="203"/>
      <c r="S9" s="121"/>
      <c r="T9" s="163"/>
      <c r="U9" s="164"/>
      <c r="V9" s="165"/>
      <c r="W9" s="166"/>
      <c r="X9" s="156"/>
      <c r="Y9" s="156"/>
    </row>
    <row r="10" spans="2:25" ht="22.5" customHeight="1" x14ac:dyDescent="0.25">
      <c r="B10" s="151" t="s">
        <v>47</v>
      </c>
      <c r="C10" s="464">
        <f>FGP!E10</f>
        <v>0.93374430169912959</v>
      </c>
      <c r="D10" s="411">
        <f t="shared" si="0"/>
        <v>52458.834137808211</v>
      </c>
      <c r="E10" s="446">
        <f>FGP!K10</f>
        <v>5.4450786975178707</v>
      </c>
      <c r="F10" s="411">
        <f t="shared" si="1"/>
        <v>152955.40746038326</v>
      </c>
      <c r="G10" s="446">
        <f>FGP!Q10</f>
        <v>7.2208048368433877</v>
      </c>
      <c r="H10" s="446">
        <f t="shared" si="3"/>
        <v>0.72208048368433886</v>
      </c>
      <c r="I10" s="411">
        <f t="shared" si="4"/>
        <v>67612.193650188696</v>
      </c>
      <c r="J10" s="447">
        <f t="shared" si="2"/>
        <v>273026.43524838018</v>
      </c>
      <c r="K10" s="162"/>
      <c r="L10" s="202" t="e">
        <f>#REF!+#REF!+H10</f>
        <v>#REF!</v>
      </c>
      <c r="M10" s="202"/>
      <c r="N10" s="200" t="e">
        <f>[1]Datos!K$64*L10%*22.5%</f>
        <v>#REF!</v>
      </c>
      <c r="O10" s="201"/>
      <c r="P10" s="145"/>
      <c r="Q10" s="163"/>
      <c r="R10" s="121"/>
      <c r="S10" s="121"/>
      <c r="T10" s="163"/>
      <c r="U10" s="164"/>
      <c r="V10" s="165"/>
      <c r="W10" s="166"/>
      <c r="X10" s="156"/>
      <c r="Y10" s="156"/>
    </row>
    <row r="11" spans="2:25" ht="22.5" customHeight="1" x14ac:dyDescent="0.25">
      <c r="B11" s="151" t="s">
        <v>48</v>
      </c>
      <c r="C11" s="464">
        <f>FGP!E11</f>
        <v>15.187266887691669</v>
      </c>
      <c r="D11" s="411">
        <f t="shared" si="0"/>
        <v>853238.20795295015</v>
      </c>
      <c r="E11" s="446">
        <f>FGP!K11</f>
        <v>4.5753856548579632</v>
      </c>
      <c r="F11" s="411">
        <f t="shared" si="1"/>
        <v>128525.22727471477</v>
      </c>
      <c r="G11" s="446">
        <f>FGP!Q11</f>
        <v>1.5108080990455499</v>
      </c>
      <c r="H11" s="446">
        <f t="shared" si="3"/>
        <v>0.151080809904555</v>
      </c>
      <c r="I11" s="411">
        <f t="shared" si="4"/>
        <v>14146.49087865338</v>
      </c>
      <c r="J11" s="447">
        <f t="shared" si="2"/>
        <v>995909.92610631825</v>
      </c>
      <c r="K11" s="162"/>
      <c r="L11" s="202" t="e">
        <f>#REF!+#REF!+H11</f>
        <v>#REF!</v>
      </c>
      <c r="M11" s="202"/>
      <c r="N11" s="200" t="e">
        <f>[1]Datos!K$64*L11%*22.5%</f>
        <v>#REF!</v>
      </c>
      <c r="O11" s="201"/>
      <c r="P11" s="145"/>
      <c r="Q11" s="163"/>
      <c r="R11" s="121"/>
      <c r="S11" s="121"/>
      <c r="T11" s="163"/>
      <c r="U11" s="164"/>
      <c r="V11" s="165"/>
      <c r="W11" s="166"/>
      <c r="X11" s="156"/>
      <c r="Y11" s="156"/>
    </row>
    <row r="12" spans="2:25" ht="22.5" customHeight="1" x14ac:dyDescent="0.25">
      <c r="B12" s="151" t="s">
        <v>49</v>
      </c>
      <c r="C12" s="464">
        <f>FGP!E12</f>
        <v>6.2678071902196431</v>
      </c>
      <c r="D12" s="411">
        <f t="shared" si="0"/>
        <v>352132.65259148041</v>
      </c>
      <c r="E12" s="446">
        <f>FGP!K12</f>
        <v>2.7314485526770396</v>
      </c>
      <c r="F12" s="411">
        <f t="shared" si="1"/>
        <v>76727.968417102849</v>
      </c>
      <c r="G12" s="446">
        <f>FGP!Q12</f>
        <v>3.4585972146392314</v>
      </c>
      <c r="H12" s="446">
        <f t="shared" si="3"/>
        <v>0.34585972146392319</v>
      </c>
      <c r="I12" s="411">
        <f t="shared" si="4"/>
        <v>32384.664856337095</v>
      </c>
      <c r="J12" s="447">
        <f t="shared" si="2"/>
        <v>461245.2858649203</v>
      </c>
      <c r="K12" s="162"/>
      <c r="L12" s="202" t="e">
        <f>#REF!+#REF!+H12</f>
        <v>#REF!</v>
      </c>
      <c r="M12" s="202"/>
      <c r="N12" s="200" t="e">
        <f>[1]Datos!K$64*L12%*22.5%</f>
        <v>#REF!</v>
      </c>
      <c r="O12" s="201"/>
      <c r="P12" s="145"/>
      <c r="Q12" s="163"/>
      <c r="R12" s="121"/>
      <c r="S12" s="121"/>
      <c r="T12" s="163"/>
      <c r="U12" s="164"/>
      <c r="V12" s="165"/>
      <c r="W12" s="166"/>
      <c r="X12" s="156"/>
      <c r="Y12" s="156"/>
    </row>
    <row r="13" spans="2:25" ht="22.5" customHeight="1" x14ac:dyDescent="0.25">
      <c r="B13" s="151" t="s">
        <v>50</v>
      </c>
      <c r="C13" s="464">
        <f>FGP!E13</f>
        <v>3.8487813406547868</v>
      </c>
      <c r="D13" s="411">
        <f t="shared" si="0"/>
        <v>216228.98433189851</v>
      </c>
      <c r="E13" s="446">
        <f>FGP!K13</f>
        <v>6.2651003657700279</v>
      </c>
      <c r="F13" s="411">
        <f t="shared" si="1"/>
        <v>175990.29003260896</v>
      </c>
      <c r="G13" s="446">
        <f>FGP!Q13</f>
        <v>3.7817013243216553</v>
      </c>
      <c r="H13" s="446">
        <f t="shared" si="3"/>
        <v>0.37817013243216557</v>
      </c>
      <c r="I13" s="411">
        <f t="shared" si="4"/>
        <v>35410.058579977718</v>
      </c>
      <c r="J13" s="447">
        <f t="shared" si="2"/>
        <v>427629.33294448518</v>
      </c>
      <c r="K13" s="162"/>
      <c r="L13" s="202" t="e">
        <f>#REF!+#REF!+H13</f>
        <v>#REF!</v>
      </c>
      <c r="M13" s="202"/>
      <c r="N13" s="200" t="e">
        <f>[1]Datos!K$64*L13%*22.5%</f>
        <v>#REF!</v>
      </c>
      <c r="O13" s="201"/>
      <c r="P13" s="145"/>
      <c r="Q13" s="163"/>
      <c r="R13" s="121"/>
      <c r="S13" s="121"/>
      <c r="T13" s="163"/>
      <c r="U13" s="164"/>
      <c r="V13" s="165"/>
      <c r="W13" s="166"/>
      <c r="X13" s="156"/>
      <c r="Y13" s="156"/>
    </row>
    <row r="14" spans="2:25" ht="22.5" customHeight="1" x14ac:dyDescent="0.25">
      <c r="B14" s="151" t="s">
        <v>51</v>
      </c>
      <c r="C14" s="464">
        <f>FGP!E14</f>
        <v>0.98991789266473262</v>
      </c>
      <c r="D14" s="411">
        <f t="shared" si="0"/>
        <v>55614.73140650092</v>
      </c>
      <c r="E14" s="446">
        <f>FGP!K14</f>
        <v>6.1681100014387802</v>
      </c>
      <c r="F14" s="411">
        <f t="shared" si="1"/>
        <v>173265.77464538789</v>
      </c>
      <c r="G14" s="446">
        <f>FGP!Q14</f>
        <v>6.4804826539158045</v>
      </c>
      <c r="H14" s="446">
        <f t="shared" si="3"/>
        <v>0.64804826539158045</v>
      </c>
      <c r="I14" s="411">
        <f t="shared" si="4"/>
        <v>60680.167660477571</v>
      </c>
      <c r="J14" s="447">
        <f t="shared" si="2"/>
        <v>289560.67371236638</v>
      </c>
      <c r="K14" s="162"/>
      <c r="L14" s="202" t="e">
        <f>#REF!+#REF!+H14</f>
        <v>#REF!</v>
      </c>
      <c r="M14" s="202"/>
      <c r="N14" s="200" t="e">
        <f>[1]Datos!K$64*L14%*22.5%</f>
        <v>#REF!</v>
      </c>
      <c r="O14" s="201"/>
      <c r="P14" s="145"/>
      <c r="Q14" s="163"/>
      <c r="R14" s="121"/>
      <c r="S14" s="121"/>
      <c r="T14" s="163"/>
      <c r="U14" s="164"/>
      <c r="V14" s="165"/>
      <c r="W14" s="166"/>
      <c r="X14" s="156"/>
      <c r="Y14" s="156"/>
    </row>
    <row r="15" spans="2:25" ht="22.5" customHeight="1" x14ac:dyDescent="0.25">
      <c r="B15" s="151" t="s">
        <v>52</v>
      </c>
      <c r="C15" s="464">
        <f>FGP!E15</f>
        <v>2.3715130283878989</v>
      </c>
      <c r="D15" s="411">
        <f t="shared" si="0"/>
        <v>133234.34304816602</v>
      </c>
      <c r="E15" s="446">
        <f>FGP!K15</f>
        <v>5.3238324825954564</v>
      </c>
      <c r="F15" s="411">
        <f t="shared" si="1"/>
        <v>149549.53121199389</v>
      </c>
      <c r="G15" s="446">
        <f>FGP!Q15</f>
        <v>5.2451935357677009</v>
      </c>
      <c r="H15" s="446">
        <f t="shared" si="3"/>
        <v>0.52451935357677015</v>
      </c>
      <c r="I15" s="411">
        <f t="shared" si="4"/>
        <v>49113.505916062953</v>
      </c>
      <c r="J15" s="447">
        <f t="shared" si="2"/>
        <v>331897.38017622288</v>
      </c>
      <c r="K15" s="162"/>
      <c r="L15" s="202" t="e">
        <f>#REF!+#REF!+H15</f>
        <v>#REF!</v>
      </c>
      <c r="M15" s="202"/>
      <c r="N15" s="200" t="e">
        <f>[1]Datos!K$64*L15%*22.5%</f>
        <v>#REF!</v>
      </c>
      <c r="O15" s="201"/>
      <c r="P15" s="145"/>
      <c r="Q15" s="163"/>
      <c r="R15" s="121"/>
      <c r="S15" s="121"/>
      <c r="T15" s="163"/>
      <c r="U15" s="164"/>
      <c r="V15" s="165"/>
      <c r="W15" s="166"/>
      <c r="X15" s="156"/>
      <c r="Y15" s="156"/>
    </row>
    <row r="16" spans="2:25" ht="22.5" customHeight="1" x14ac:dyDescent="0.25">
      <c r="B16" s="151" t="s">
        <v>53</v>
      </c>
      <c r="C16" s="464">
        <f>FGP!E16</f>
        <v>1.563876010153336</v>
      </c>
      <c r="D16" s="411">
        <f t="shared" si="0"/>
        <v>87860.361856500749</v>
      </c>
      <c r="E16" s="446">
        <f>FGP!K16</f>
        <v>4.3400693693802852</v>
      </c>
      <c r="F16" s="411">
        <f t="shared" si="1"/>
        <v>121915.05682048252</v>
      </c>
      <c r="G16" s="446">
        <f>FGP!Q16</f>
        <v>7.0706861587662333</v>
      </c>
      <c r="H16" s="446">
        <f t="shared" si="3"/>
        <v>0.7070686158766234</v>
      </c>
      <c r="I16" s="411">
        <f t="shared" si="4"/>
        <v>66206.553508680605</v>
      </c>
      <c r="J16" s="447">
        <f t="shared" si="2"/>
        <v>275981.97218566388</v>
      </c>
      <c r="K16" s="162"/>
      <c r="L16" s="202" t="e">
        <f>#REF!+#REF!+H16</f>
        <v>#REF!</v>
      </c>
      <c r="M16" s="202"/>
      <c r="N16" s="200" t="e">
        <f>[1]Datos!K$64*L16%*22.5%</f>
        <v>#REF!</v>
      </c>
      <c r="O16" s="201"/>
      <c r="P16" s="145"/>
      <c r="Q16" s="163"/>
      <c r="R16" s="121"/>
      <c r="S16" s="121"/>
      <c r="T16" s="163"/>
      <c r="U16" s="164"/>
      <c r="V16" s="165"/>
      <c r="W16" s="166"/>
      <c r="X16" s="156"/>
      <c r="Y16" s="156"/>
    </row>
    <row r="17" spans="2:25" ht="22.5" customHeight="1" x14ac:dyDescent="0.25">
      <c r="B17" s="151" t="s">
        <v>54</v>
      </c>
      <c r="C17" s="464">
        <f>FGP!E17</f>
        <v>1.1104401937422297</v>
      </c>
      <c r="D17" s="411">
        <f t="shared" si="0"/>
        <v>62385.813586736396</v>
      </c>
      <c r="E17" s="446">
        <f>FGP!K17</f>
        <v>6.0794692522642091</v>
      </c>
      <c r="F17" s="411">
        <f t="shared" si="1"/>
        <v>170775.80477336925</v>
      </c>
      <c r="G17" s="446">
        <f>FGP!Q17</f>
        <v>6.3614936271283176</v>
      </c>
      <c r="H17" s="446">
        <f t="shared" si="3"/>
        <v>0.63614936271283185</v>
      </c>
      <c r="I17" s="411">
        <f t="shared" si="4"/>
        <v>59566.010817412964</v>
      </c>
      <c r="J17" s="447">
        <f t="shared" si="2"/>
        <v>292727.6291775186</v>
      </c>
      <c r="K17" s="162"/>
      <c r="L17" s="202" t="e">
        <f>#REF!+#REF!+H17</f>
        <v>#REF!</v>
      </c>
      <c r="M17" s="202"/>
      <c r="N17" s="200" t="e">
        <f>[1]Datos!K$64*L17%*22.5%</f>
        <v>#REF!</v>
      </c>
      <c r="O17" s="201"/>
      <c r="P17" s="145"/>
      <c r="Q17" s="163"/>
      <c r="R17" s="121"/>
      <c r="S17" s="121"/>
      <c r="T17" s="163"/>
      <c r="U17" s="164"/>
      <c r="V17" s="165"/>
      <c r="W17" s="166"/>
      <c r="X17" s="156"/>
      <c r="Y17" s="156"/>
    </row>
    <row r="18" spans="2:25" ht="22.5" customHeight="1" x14ac:dyDescent="0.25">
      <c r="B18" s="151" t="s">
        <v>55</v>
      </c>
      <c r="C18" s="464">
        <f>FGP!E18</f>
        <v>2.7169725186489848</v>
      </c>
      <c r="D18" s="411">
        <f t="shared" si="0"/>
        <v>152642.65651038566</v>
      </c>
      <c r="E18" s="446">
        <f>FGP!K18</f>
        <v>4.6837804530279792</v>
      </c>
      <c r="F18" s="411">
        <f t="shared" si="1"/>
        <v>131570.09979937423</v>
      </c>
      <c r="G18" s="446">
        <f>FGP!Q18</f>
        <v>5.2188232806558297</v>
      </c>
      <c r="H18" s="446">
        <f t="shared" si="3"/>
        <v>0.52188232806558299</v>
      </c>
      <c r="I18" s="411">
        <f t="shared" si="4"/>
        <v>48866.587347355577</v>
      </c>
      <c r="J18" s="447">
        <f t="shared" si="2"/>
        <v>333079.34365711547</v>
      </c>
      <c r="K18" s="162"/>
      <c r="L18" s="202" t="e">
        <f>#REF!+#REF!+H18</f>
        <v>#REF!</v>
      </c>
      <c r="M18" s="202"/>
      <c r="N18" s="200" t="e">
        <f>[1]Datos!K$64*L18%*22.5%</f>
        <v>#REF!</v>
      </c>
      <c r="O18" s="201"/>
      <c r="P18" s="145"/>
      <c r="Q18" s="163"/>
      <c r="R18" s="121"/>
      <c r="S18" s="121"/>
      <c r="T18" s="163"/>
      <c r="U18" s="164"/>
      <c r="V18" s="165"/>
      <c r="W18" s="166"/>
      <c r="X18" s="156"/>
      <c r="Y18" s="156"/>
    </row>
    <row r="19" spans="2:25" ht="22.5" customHeight="1" x14ac:dyDescent="0.25">
      <c r="B19" s="151" t="s">
        <v>56</v>
      </c>
      <c r="C19" s="464">
        <f>FGP!E19</f>
        <v>1.9503729796933278</v>
      </c>
      <c r="D19" s="411">
        <f t="shared" si="0"/>
        <v>109574.20833777974</v>
      </c>
      <c r="E19" s="446">
        <f>FGP!K19</f>
        <v>4.8371590035736451</v>
      </c>
      <c r="F19" s="411">
        <f t="shared" si="1"/>
        <v>135878.59192550083</v>
      </c>
      <c r="G19" s="446">
        <f>FGP!Q19</f>
        <v>6.0429383885527033</v>
      </c>
      <c r="H19" s="446">
        <f t="shared" si="3"/>
        <v>0.60429383885527033</v>
      </c>
      <c r="I19" s="411">
        <f t="shared" si="4"/>
        <v>56583.210566537884</v>
      </c>
      <c r="J19" s="447">
        <f t="shared" si="2"/>
        <v>302036.01082981844</v>
      </c>
      <c r="K19" s="162"/>
      <c r="L19" s="202" t="e">
        <f>#REF!+#REF!+H19</f>
        <v>#REF!</v>
      </c>
      <c r="M19" s="202"/>
      <c r="N19" s="200" t="e">
        <f>[1]Datos!K$64*L19%*22.5%</f>
        <v>#REF!</v>
      </c>
      <c r="O19" s="201"/>
      <c r="P19" s="145"/>
      <c r="Q19" s="163"/>
      <c r="R19" s="121"/>
      <c r="S19" s="121"/>
      <c r="T19" s="163"/>
      <c r="U19" s="164"/>
      <c r="V19" s="165"/>
      <c r="W19" s="166"/>
      <c r="X19" s="156"/>
      <c r="Y19" s="156"/>
    </row>
    <row r="20" spans="2:25" ht="22.5" customHeight="1" x14ac:dyDescent="0.25">
      <c r="B20" s="151" t="s">
        <v>57</v>
      </c>
      <c r="C20" s="464">
        <f>FGP!E20</f>
        <v>3.3605405615416495</v>
      </c>
      <c r="D20" s="411">
        <f t="shared" si="0"/>
        <v>188799.05302821792</v>
      </c>
      <c r="E20" s="446">
        <f>FGP!K20</f>
        <v>4.7661107472169828</v>
      </c>
      <c r="F20" s="411">
        <f t="shared" si="1"/>
        <v>133882.80534387863</v>
      </c>
      <c r="G20" s="446">
        <f>FGP!Q20</f>
        <v>4.5966518129393519</v>
      </c>
      <c r="H20" s="446">
        <f t="shared" si="3"/>
        <v>0.45966518129393519</v>
      </c>
      <c r="I20" s="411">
        <f t="shared" si="4"/>
        <v>43040.868648488467</v>
      </c>
      <c r="J20" s="447">
        <f t="shared" si="2"/>
        <v>365722.72702058504</v>
      </c>
      <c r="K20" s="162"/>
      <c r="L20" s="202" t="e">
        <f>#REF!+#REF!+H20</f>
        <v>#REF!</v>
      </c>
      <c r="M20" s="202"/>
      <c r="N20" s="200" t="e">
        <f>[1]Datos!K$64*L20%*22.5%</f>
        <v>#REF!</v>
      </c>
      <c r="O20" s="201"/>
      <c r="P20" s="145"/>
      <c r="Q20" s="163"/>
      <c r="R20" s="121"/>
      <c r="S20" s="121"/>
      <c r="T20" s="163"/>
      <c r="U20" s="164"/>
      <c r="V20" s="165"/>
      <c r="W20" s="166"/>
      <c r="X20" s="156"/>
      <c r="Y20" s="156"/>
    </row>
    <row r="21" spans="2:25" ht="22.5" customHeight="1" x14ac:dyDescent="0.25">
      <c r="B21" s="151" t="s">
        <v>58</v>
      </c>
      <c r="C21" s="464">
        <f>FGP!E21</f>
        <v>0.62187564753418989</v>
      </c>
      <c r="D21" s="411">
        <f t="shared" si="0"/>
        <v>34937.692673437989</v>
      </c>
      <c r="E21" s="446">
        <f>FGP!K21</f>
        <v>4.3593468207731707</v>
      </c>
      <c r="F21" s="411">
        <f t="shared" si="1"/>
        <v>122456.57157102977</v>
      </c>
      <c r="G21" s="446">
        <f>FGP!Q21</f>
        <v>9.4238259342469775</v>
      </c>
      <c r="H21" s="446">
        <f t="shared" si="3"/>
        <v>0.94238259342469777</v>
      </c>
      <c r="I21" s="411">
        <f t="shared" si="4"/>
        <v>88240.23891920023</v>
      </c>
      <c r="J21" s="447">
        <f t="shared" si="2"/>
        <v>245634.50316366798</v>
      </c>
      <c r="K21" s="162"/>
      <c r="L21" s="202" t="e">
        <f>#REF!+#REF!+H21</f>
        <v>#REF!</v>
      </c>
      <c r="M21" s="202"/>
      <c r="N21" s="200" t="e">
        <f>[1]Datos!K$64*L21%*22.5%</f>
        <v>#REF!</v>
      </c>
      <c r="O21" s="201"/>
      <c r="P21" s="145"/>
      <c r="Q21" s="163"/>
      <c r="R21" s="121"/>
      <c r="S21" s="121"/>
      <c r="T21" s="163"/>
      <c r="U21" s="164"/>
      <c r="V21" s="165"/>
      <c r="W21" s="166"/>
      <c r="X21" s="156"/>
      <c r="Y21" s="156"/>
    </row>
    <row r="22" spans="2:25" ht="22.5" customHeight="1" x14ac:dyDescent="0.25">
      <c r="B22" s="151" t="s">
        <v>59</v>
      </c>
      <c r="C22" s="464">
        <f>FGP!E22</f>
        <v>2.0163405252797348</v>
      </c>
      <c r="D22" s="411">
        <f t="shared" si="0"/>
        <v>113280.34129741164</v>
      </c>
      <c r="E22" s="446">
        <f>FGP!K22</f>
        <v>5.7323586602508998</v>
      </c>
      <c r="F22" s="411">
        <f t="shared" si="1"/>
        <v>161025.26763982649</v>
      </c>
      <c r="G22" s="446">
        <f>FGP!Q22</f>
        <v>5.4073125046017925</v>
      </c>
      <c r="H22" s="446">
        <f t="shared" si="3"/>
        <v>0.54073125046017922</v>
      </c>
      <c r="I22" s="411">
        <f t="shared" si="4"/>
        <v>50631.511091781191</v>
      </c>
      <c r="J22" s="447">
        <f t="shared" si="2"/>
        <v>324937.12002901931</v>
      </c>
      <c r="K22" s="162"/>
      <c r="L22" s="202" t="e">
        <f>#REF!+#REF!+H22</f>
        <v>#REF!</v>
      </c>
      <c r="M22" s="202"/>
      <c r="N22" s="200" t="e">
        <f>[1]Datos!K$64*L22%*22.5%</f>
        <v>#REF!</v>
      </c>
      <c r="O22" s="201"/>
      <c r="P22" s="145"/>
      <c r="Q22" s="163"/>
      <c r="R22" s="121"/>
      <c r="S22" s="121"/>
      <c r="T22" s="163"/>
      <c r="U22" s="164"/>
      <c r="V22" s="165"/>
      <c r="W22" s="166"/>
      <c r="X22" s="156"/>
      <c r="Y22" s="156"/>
    </row>
    <row r="23" spans="2:25" ht="22.5" customHeight="1" x14ac:dyDescent="0.25">
      <c r="B23" s="151" t="s">
        <v>60</v>
      </c>
      <c r="C23" s="464">
        <f>FGP!E23</f>
        <v>7.6069888365105687</v>
      </c>
      <c r="D23" s="411">
        <f t="shared" si="0"/>
        <v>427369.42537321046</v>
      </c>
      <c r="E23" s="446">
        <f>FGP!K23</f>
        <v>4.5771853673079121</v>
      </c>
      <c r="F23" s="411">
        <f t="shared" si="1"/>
        <v>128575.78223753267</v>
      </c>
      <c r="G23" s="446">
        <f>FGP!Q23</f>
        <v>2.6679898108363056</v>
      </c>
      <c r="H23" s="446">
        <f t="shared" si="3"/>
        <v>0.26679898108363059</v>
      </c>
      <c r="I23" s="411">
        <f t="shared" si="4"/>
        <v>24981.791894801088</v>
      </c>
      <c r="J23" s="447">
        <f t="shared" si="2"/>
        <v>580926.9995055442</v>
      </c>
      <c r="K23" s="162"/>
      <c r="L23" s="202" t="e">
        <f>#REF!+#REF!+H23</f>
        <v>#REF!</v>
      </c>
      <c r="M23" s="202"/>
      <c r="N23" s="200" t="e">
        <f>[1]Datos!K$64*L23%*22.5%</f>
        <v>#REF!</v>
      </c>
      <c r="O23" s="201"/>
      <c r="P23" s="145"/>
      <c r="Q23" s="163"/>
      <c r="R23" s="121"/>
      <c r="S23" s="121"/>
      <c r="T23" s="163"/>
      <c r="U23" s="164"/>
      <c r="V23" s="165"/>
      <c r="W23" s="166"/>
      <c r="X23" s="156"/>
      <c r="Y23" s="156"/>
    </row>
    <row r="24" spans="2:25" ht="22.5" customHeight="1" x14ac:dyDescent="0.25">
      <c r="B24" s="151" t="s">
        <v>61</v>
      </c>
      <c r="C24" s="464">
        <f>FGP!E24</f>
        <v>3.0057727673021133</v>
      </c>
      <c r="D24" s="411">
        <f t="shared" si="0"/>
        <v>168867.78828948579</v>
      </c>
      <c r="E24" s="446">
        <f>FGP!K24</f>
        <v>5.2190716173410205</v>
      </c>
      <c r="F24" s="411">
        <f t="shared" si="1"/>
        <v>146606.73796307371</v>
      </c>
      <c r="G24" s="446">
        <f>FGP!Q24</f>
        <v>4.7016669361800902</v>
      </c>
      <c r="H24" s="446">
        <f t="shared" si="3"/>
        <v>0.47016669361800906</v>
      </c>
      <c r="I24" s="411">
        <f t="shared" si="4"/>
        <v>44024.180482720949</v>
      </c>
      <c r="J24" s="447">
        <f t="shared" si="2"/>
        <v>359498.70673528046</v>
      </c>
      <c r="K24" s="162"/>
      <c r="L24" s="202" t="e">
        <f>#REF!+#REF!+H24</f>
        <v>#REF!</v>
      </c>
      <c r="M24" s="202"/>
      <c r="N24" s="200" t="e">
        <f>[1]Datos!K$64*L24%*22.5%</f>
        <v>#REF!</v>
      </c>
      <c r="O24" s="201"/>
      <c r="P24" s="145"/>
      <c r="Q24" s="163"/>
      <c r="R24" s="121"/>
      <c r="S24" s="121"/>
      <c r="T24" s="163"/>
      <c r="U24" s="164"/>
      <c r="V24" s="165"/>
      <c r="W24" s="166"/>
      <c r="X24" s="156"/>
      <c r="Y24" s="156"/>
    </row>
    <row r="25" spans="2:25" ht="22.5" customHeight="1" x14ac:dyDescent="0.25">
      <c r="B25" s="151" t="s">
        <v>62</v>
      </c>
      <c r="C25" s="464">
        <f>FGP!E25</f>
        <v>34.475044032324909</v>
      </c>
      <c r="D25" s="411">
        <f t="shared" si="0"/>
        <v>1936847.8217156583</v>
      </c>
      <c r="E25" s="446">
        <f>FGP!K25</f>
        <v>4.5493655923284368</v>
      </c>
      <c r="F25" s="411">
        <f t="shared" si="1"/>
        <v>127794.30868061574</v>
      </c>
      <c r="G25" s="446">
        <f>FGP!Q25</f>
        <v>0.71840835147738202</v>
      </c>
      <c r="H25" s="446">
        <f t="shared" si="3"/>
        <v>7.1840835147738202E-2</v>
      </c>
      <c r="I25" s="411">
        <f t="shared" si="4"/>
        <v>6726.8352597153971</v>
      </c>
      <c r="J25" s="447">
        <f t="shared" si="2"/>
        <v>2071368.9656559892</v>
      </c>
      <c r="K25" s="162"/>
      <c r="L25" s="202" t="e">
        <f>#REF!+#REF!+H25</f>
        <v>#REF!</v>
      </c>
      <c r="M25" s="202"/>
      <c r="N25" s="200" t="e">
        <f>[1]Datos!K$64*L25%*22.5%</f>
        <v>#REF!</v>
      </c>
      <c r="O25" s="201"/>
      <c r="P25" s="145"/>
      <c r="Q25" s="163"/>
      <c r="R25" s="121"/>
      <c r="S25" s="121"/>
      <c r="T25" s="163"/>
      <c r="U25" s="164"/>
      <c r="V25" s="165"/>
      <c r="W25" s="166"/>
      <c r="X25" s="156"/>
      <c r="Y25" s="156"/>
    </row>
    <row r="26" spans="2:25" ht="22.5" customHeight="1" x14ac:dyDescent="0.25">
      <c r="B26" s="151" t="s">
        <v>63</v>
      </c>
      <c r="C26" s="464">
        <f>FGP!E26</f>
        <v>2.4334334852880231</v>
      </c>
      <c r="D26" s="411">
        <f t="shared" si="0"/>
        <v>136713.1058875751</v>
      </c>
      <c r="E26" s="446">
        <f>FGP!K26</f>
        <v>6.1676355253754691</v>
      </c>
      <c r="F26" s="411">
        <f t="shared" si="1"/>
        <v>173252.44633855793</v>
      </c>
      <c r="G26" s="446">
        <f>FGP!Q26</f>
        <v>4.7852289992748567</v>
      </c>
      <c r="H26" s="446">
        <f t="shared" si="3"/>
        <v>0.4785228999274857</v>
      </c>
      <c r="I26" s="411">
        <f t="shared" si="4"/>
        <v>44806.61603103338</v>
      </c>
      <c r="J26" s="447">
        <f t="shared" si="2"/>
        <v>354772.16825716646</v>
      </c>
      <c r="K26" s="162"/>
      <c r="L26" s="202" t="e">
        <f>#REF!+#REF!+H26</f>
        <v>#REF!</v>
      </c>
      <c r="M26" s="202"/>
      <c r="N26" s="200" t="e">
        <f>[1]Datos!K$64*L26%*22.5%</f>
        <v>#REF!</v>
      </c>
      <c r="O26" s="201"/>
      <c r="P26" s="145"/>
      <c r="Q26" s="163"/>
      <c r="R26" s="121"/>
      <c r="S26" s="121"/>
      <c r="T26" s="163"/>
      <c r="U26" s="164"/>
      <c r="V26" s="165"/>
      <c r="W26" s="166"/>
      <c r="X26" s="156"/>
      <c r="Y26" s="156"/>
    </row>
    <row r="27" spans="2:25" ht="22.5" customHeight="1" thickBot="1" x14ac:dyDescent="0.3">
      <c r="B27" s="151" t="s">
        <v>64</v>
      </c>
      <c r="C27" s="464">
        <f>FGP!E27</f>
        <v>5.2797509583506006</v>
      </c>
      <c r="D27" s="411">
        <f t="shared" si="0"/>
        <v>296622.51144028193</v>
      </c>
      <c r="E27" s="446">
        <f>FGP!K27</f>
        <v>4.3257954027125782</v>
      </c>
      <c r="F27" s="411">
        <f t="shared" si="1"/>
        <v>121514.09284750443</v>
      </c>
      <c r="G27" s="446">
        <f>FGP!Q27</f>
        <v>3.5473004134980548</v>
      </c>
      <c r="H27" s="446">
        <f t="shared" si="3"/>
        <v>0.35473004134980551</v>
      </c>
      <c r="I27" s="411">
        <f t="shared" si="4"/>
        <v>33215.239562917275</v>
      </c>
      <c r="J27" s="447">
        <f t="shared" si="2"/>
        <v>451351.84385070362</v>
      </c>
      <c r="K27" s="198"/>
      <c r="L27" s="163" t="e">
        <f>#REF!+#REF!+H27</f>
        <v>#REF!</v>
      </c>
      <c r="M27" s="163"/>
      <c r="N27" s="200" t="e">
        <f>[1]Datos!K$64*L27%*22.5%</f>
        <v>#REF!</v>
      </c>
      <c r="O27" s="201"/>
      <c r="P27" s="145"/>
      <c r="Q27" s="163"/>
      <c r="R27" s="121"/>
      <c r="S27" s="121"/>
      <c r="T27" s="163"/>
      <c r="U27" s="164"/>
      <c r="V27" s="165"/>
      <c r="W27" s="166"/>
      <c r="X27" s="156"/>
      <c r="Y27" s="156"/>
    </row>
    <row r="28" spans="2:25" ht="15.75" thickBot="1" x14ac:dyDescent="0.3">
      <c r="B28" s="462" t="s">
        <v>65</v>
      </c>
      <c r="C28" s="465">
        <v>99.999999999999986</v>
      </c>
      <c r="D28" s="70">
        <f>Datos!K59*'Incentivo ISAN'!C6</f>
        <v>5618115.585</v>
      </c>
      <c r="E28" s="210">
        <v>100.00000000000003</v>
      </c>
      <c r="F28" s="70">
        <f>Datos!K59*'Incentivo ISAN'!E6</f>
        <v>2809057.7925</v>
      </c>
      <c r="G28" s="210">
        <v>99.999999999999972</v>
      </c>
      <c r="H28" s="211">
        <f t="shared" si="3"/>
        <v>9.9999999999999982</v>
      </c>
      <c r="I28" s="70">
        <f>Datos!K59*'Incentivo ISAN'!G6</f>
        <v>936352.59750000003</v>
      </c>
      <c r="J28" s="204">
        <f>SUM(J8:J27)</f>
        <v>9363525.9749999996</v>
      </c>
      <c r="K28" s="205"/>
      <c r="L28" s="206" t="e">
        <f>#REF!+#REF!+H28</f>
        <v>#REF!</v>
      </c>
      <c r="M28" s="206"/>
      <c r="N28" s="207" t="e">
        <f>SUM(N8:N27)</f>
        <v>#REF!</v>
      </c>
      <c r="O28" s="208"/>
      <c r="P28" s="209"/>
      <c r="Q28" s="168"/>
      <c r="R28" s="167"/>
      <c r="S28" s="167"/>
      <c r="T28" s="168"/>
      <c r="U28" s="148"/>
      <c r="V28" s="165"/>
      <c r="W28" s="166"/>
      <c r="X28" s="156"/>
      <c r="Y28" s="156"/>
    </row>
    <row r="29" spans="2:25" x14ac:dyDescent="0.25">
      <c r="B29" s="1073" t="s">
        <v>295</v>
      </c>
      <c r="C29" s="1073"/>
      <c r="D29" s="1073"/>
      <c r="E29" s="1073"/>
      <c r="F29" s="1073"/>
      <c r="G29" s="1073"/>
      <c r="H29" s="8"/>
      <c r="I29" s="8"/>
      <c r="J29" s="8"/>
      <c r="K29" s="8"/>
      <c r="L29" s="169"/>
      <c r="M29" s="169"/>
      <c r="N29" s="154"/>
      <c r="O29" s="154"/>
      <c r="P29" s="163"/>
      <c r="Q29" s="155"/>
      <c r="R29" s="155"/>
      <c r="S29" s="156"/>
      <c r="T29" s="156"/>
      <c r="U29" s="156"/>
      <c r="V29" s="156"/>
      <c r="W29" s="156"/>
      <c r="X29" s="156"/>
      <c r="Y29" s="156"/>
    </row>
    <row r="30" spans="2:25" ht="24.75" customHeight="1" x14ac:dyDescent="0.25">
      <c r="B30" s="1122"/>
      <c r="C30" s="1123"/>
      <c r="D30" s="1123"/>
      <c r="E30" s="1123"/>
      <c r="F30" s="1123"/>
      <c r="G30" s="1123"/>
      <c r="H30" s="1123"/>
      <c r="I30" s="1123"/>
      <c r="J30" s="1123"/>
      <c r="K30" s="8"/>
      <c r="L30" s="8"/>
      <c r="M30" s="8"/>
      <c r="N30" s="170"/>
      <c r="O30" s="8"/>
      <c r="P30" s="8"/>
      <c r="Q30" s="76"/>
      <c r="R30" s="76"/>
    </row>
  </sheetData>
  <mergeCells count="10">
    <mergeCell ref="B29:G29"/>
    <mergeCell ref="B30:J30"/>
    <mergeCell ref="O4:P5"/>
    <mergeCell ref="B1:L1"/>
    <mergeCell ref="B4:B7"/>
    <mergeCell ref="D4:D5"/>
    <mergeCell ref="F4:F5"/>
    <mergeCell ref="I4:I5"/>
    <mergeCell ref="B2:J2"/>
    <mergeCell ref="J4:J6"/>
  </mergeCells>
  <printOptions horizontalCentered="1"/>
  <pageMargins left="0.70866141732283472" right="0.70866141732283472" top="0.74803149606299213" bottom="0.74803149606299213" header="0.31496062992125984" footer="0.31496062992125984"/>
  <pageSetup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20</vt:i4>
      </vt:variant>
    </vt:vector>
  </HeadingPairs>
  <TitlesOfParts>
    <vt:vector size="46" baseType="lpstr">
      <vt:lpstr>CALENDARIO 2022</vt:lpstr>
      <vt:lpstr>Consolidado</vt:lpstr>
      <vt:lpstr>FGP</vt:lpstr>
      <vt:lpstr>FFM</vt:lpstr>
      <vt:lpstr>FOFIR</vt:lpstr>
      <vt:lpstr>FOCO</vt:lpstr>
      <vt:lpstr>IEPS TyA</vt:lpstr>
      <vt:lpstr>IEPS GyD </vt:lpstr>
      <vt:lpstr>Incentivo ISAN</vt:lpstr>
      <vt:lpstr>FOCO ISAN</vt:lpstr>
      <vt:lpstr>ISR Enaje</vt:lpstr>
      <vt:lpstr>IEPS 2014 </vt:lpstr>
      <vt:lpstr>CENSO 2020</vt:lpstr>
      <vt:lpstr>Predial y Agua</vt:lpstr>
      <vt:lpstr>F.G.P. 2022</vt:lpstr>
      <vt:lpstr>F.F.M.2022</vt:lpstr>
      <vt:lpstr>FOFIR 2022</vt:lpstr>
      <vt:lpstr>FOCO 2022</vt:lpstr>
      <vt:lpstr>IEPS2022</vt:lpstr>
      <vt:lpstr>IEPSGAS 2022</vt:lpstr>
      <vt:lpstr>ISAN 2022</vt:lpstr>
      <vt:lpstr>FOCO ISAN 2022 </vt:lpstr>
      <vt:lpstr>ISR 2022</vt:lpstr>
      <vt:lpstr>ISR EJANE 2022</vt:lpstr>
      <vt:lpstr>IEPS2020 (2)</vt:lpstr>
      <vt:lpstr>ISAN Recaudacion (2)</vt:lpstr>
      <vt:lpstr>'CALENDARIO 2022'!Área_de_impresión</vt:lpstr>
      <vt:lpstr>'CENSO 2020'!Área_de_impresión</vt:lpstr>
      <vt:lpstr>Datos!Área_de_impresión</vt:lpstr>
      <vt:lpstr>F.F.M.2022!Área_de_impresión</vt:lpstr>
      <vt:lpstr>'F.G.P. 2022'!Área_de_impresión</vt:lpstr>
      <vt:lpstr>'FOCO ISAN'!Área_de_impresión</vt:lpstr>
      <vt:lpstr>'FOCO ISAN 2022 '!Área_de_impresión</vt:lpstr>
      <vt:lpstr>FOFIR!Área_de_impresión</vt:lpstr>
      <vt:lpstr>'FOFIR 2022'!Área_de_impresión</vt:lpstr>
      <vt:lpstr>'IEPS 2014 '!Área_de_impresión</vt:lpstr>
      <vt:lpstr>'IEPS GyD '!Área_de_impresión</vt:lpstr>
      <vt:lpstr>'IEPS TyA'!Área_de_impresión</vt:lpstr>
      <vt:lpstr>IEPS2022!Área_de_impresión</vt:lpstr>
      <vt:lpstr>'IEPSGAS 2022'!Área_de_impresión</vt:lpstr>
      <vt:lpstr>'Incentivo ISAN'!Área_de_impresión</vt:lpstr>
      <vt:lpstr>'ISAN 2022'!Área_de_impresión</vt:lpstr>
      <vt:lpstr>'ISR 2022'!Área_de_impresión</vt:lpstr>
      <vt:lpstr>'ISR EJANE 2022'!Área_de_impresión</vt:lpstr>
      <vt:lpstr>'ISR Enaje'!Área_de_impresión</vt:lpstr>
      <vt:lpstr>'Predial y Agua'!Área_de_impresión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INGCOORD</dc:creator>
  <cp:lastModifiedBy>INGCOORD</cp:lastModifiedBy>
  <cp:lastPrinted>2022-02-04T19:24:02Z</cp:lastPrinted>
  <dcterms:created xsi:type="dcterms:W3CDTF">2018-01-30T21:48:08Z</dcterms:created>
  <dcterms:modified xsi:type="dcterms:W3CDTF">2022-02-04T19:50:47Z</dcterms:modified>
</cp:coreProperties>
</file>